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007402CB-60B7-43EE-8929-216EE270671F}" xr6:coauthVersionLast="47" xr6:coauthVersionMax="47" xr10:uidLastSave="{00000000-0000-0000-0000-000000000000}"/>
  <bookViews>
    <workbookView xWindow="-120" yWindow="-120" windowWidth="29040" windowHeight="15720" tabRatio="699" firstSheet="12" activeTab="21" xr2:uid="{00000000-000D-0000-FFFF-FFFF00000000}"/>
  </bookViews>
  <sheets>
    <sheet name="1.összevont" sheetId="1" r:id="rId1"/>
    <sheet name="2.kötelező" sheetId="4" r:id="rId2"/>
    <sheet name="3.önként" sheetId="5" r:id="rId3"/>
    <sheet name="4.államigazg" sheetId="6" r:id="rId4"/>
    <sheet name="5.műkmérleg" sheetId="2" r:id="rId5"/>
    <sheet name="6.felhmérleg" sheetId="7" r:id="rId6"/>
    <sheet name="7.Önk bev." sheetId="22" r:id="rId7"/>
    <sheet name="8. PMH bev." sheetId="23" r:id="rId8"/>
    <sheet name="9. GKP bev" sheetId="24" r:id="rId9"/>
    <sheet name="10. VE bev" sheetId="25" r:id="rId10"/>
    <sheet name="11. MH bev." sheetId="31" r:id="rId11"/>
    <sheet name="12.Önk kiad" sheetId="26" r:id="rId12"/>
    <sheet name="13.PMH kiad" sheetId="27" r:id="rId13"/>
    <sheet name="14. GKP kiad" sheetId="28" r:id="rId14"/>
    <sheet name="15. VE kiad" sheetId="29" r:id="rId15"/>
    <sheet name="16. MH kiad" sheetId="30" r:id="rId16"/>
    <sheet name="17.Beruh" sheetId="18" r:id="rId17"/>
    <sheet name="18.Felújít" sheetId="20" r:id="rId18"/>
    <sheet name="19. adósságot keltk köt" sheetId="32" r:id="rId19"/>
    <sheet name="20. Önkormányzat saját bev" sheetId="33" r:id="rId20"/>
    <sheet name="21. adóss. fejl" sheetId="34" r:id="rId21"/>
    <sheet name="22. EU-s" sheetId="35" r:id="rId22"/>
  </sheets>
  <definedNames>
    <definedName name="_xlnm._FilterDatabase" localSheetId="6" hidden="1">'7.Önk bev.'!$B$2:$Y$38</definedName>
    <definedName name="_xlnm.Print_Area" localSheetId="11">'12.Önk kiad'!$A$1:$AJ$96</definedName>
    <definedName name="_xlnm.Print_Area" localSheetId="12">'13.PMH kiad'!$A$2:$AA$28</definedName>
    <definedName name="_xlnm.Print_Area" localSheetId="13">'14. GKP kiad'!$A$2:$W$21</definedName>
    <definedName name="_xlnm.Print_Area" localSheetId="14">'15. VE kiad'!$A$2:$Y$12</definedName>
    <definedName name="_xlnm.Print_Area" localSheetId="15">'16. MH kiad'!$A$2:$Y$13</definedName>
    <definedName name="_xlnm.Print_Area" localSheetId="6">'7.Önk bev.'!$A$1:$Z$66</definedName>
    <definedName name="Verzió" localSheetId="9">#REF!</definedName>
    <definedName name="Verzió" localSheetId="10">#REF!</definedName>
    <definedName name="Verzió" localSheetId="11">#REF!</definedName>
    <definedName name="Verzió" localSheetId="12">#REF!</definedName>
    <definedName name="Verzió" localSheetId="13">#REF!</definedName>
    <definedName name="Verzió" localSheetId="14">#REF!</definedName>
    <definedName name="Verzió" localSheetId="15">#REF!</definedName>
    <definedName name="Verzió" localSheetId="7">#REF!</definedName>
    <definedName name="Verzió" localSheetId="8">#REF!</definedName>
    <definedName name="Verzi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23" l="1"/>
  <c r="P9" i="23"/>
  <c r="E9" i="23"/>
  <c r="D9" i="23"/>
  <c r="D15" i="2"/>
  <c r="D19" i="2" l="1"/>
  <c r="D18" i="2"/>
  <c r="I62" i="26" l="1"/>
  <c r="I50" i="26"/>
  <c r="I10" i="27" l="1"/>
  <c r="I11" i="27"/>
  <c r="W45" i="22"/>
  <c r="X45" i="22"/>
  <c r="J45" i="22"/>
  <c r="H45" i="22"/>
  <c r="G45" i="22"/>
  <c r="G47" i="22"/>
  <c r="Z39" i="22"/>
  <c r="Z40" i="22"/>
  <c r="Z41" i="22"/>
  <c r="Z42" i="22"/>
  <c r="Z43" i="22"/>
  <c r="Y39" i="22"/>
  <c r="Y40" i="22"/>
  <c r="Y41" i="22"/>
  <c r="Y42" i="22"/>
  <c r="Y43" i="22"/>
  <c r="K45" i="22"/>
  <c r="L45" i="22"/>
  <c r="M45" i="22"/>
  <c r="N45" i="22"/>
  <c r="O45" i="22"/>
  <c r="P45" i="22"/>
  <c r="Q45" i="22"/>
  <c r="R45" i="22"/>
  <c r="S45" i="22"/>
  <c r="T45" i="22"/>
  <c r="F45" i="22"/>
  <c r="F44" i="22"/>
  <c r="G44" i="22"/>
  <c r="H44" i="22"/>
  <c r="J44" i="22"/>
  <c r="K44" i="22"/>
  <c r="L44" i="22"/>
  <c r="N44" i="22"/>
  <c r="O44" i="22"/>
  <c r="P44" i="22"/>
  <c r="Q44" i="22"/>
  <c r="R44" i="22"/>
  <c r="S44" i="22"/>
  <c r="T44" i="22"/>
  <c r="W44" i="22"/>
  <c r="X44" i="22"/>
  <c r="P47" i="22"/>
  <c r="N47" i="22"/>
  <c r="Y61" i="26" l="1"/>
  <c r="Y62" i="26"/>
  <c r="W62" i="26"/>
  <c r="V61" i="26"/>
  <c r="V77" i="26" s="1"/>
  <c r="E62" i="26"/>
  <c r="G62" i="26"/>
  <c r="J62" i="26"/>
  <c r="K62" i="26"/>
  <c r="L62" i="26"/>
  <c r="M62" i="26"/>
  <c r="O62" i="26"/>
  <c r="Q62" i="26"/>
  <c r="R62" i="26"/>
  <c r="S62" i="26"/>
  <c r="U62" i="26"/>
  <c r="X62" i="26"/>
  <c r="Z62" i="26"/>
  <c r="AA62" i="26"/>
  <c r="AD62" i="26"/>
  <c r="AE62" i="26"/>
  <c r="AF49" i="26"/>
  <c r="AC48" i="26"/>
  <c r="AG48" i="26" s="1"/>
  <c r="AC49" i="26"/>
  <c r="AG49" i="26" s="1"/>
  <c r="AB48" i="26"/>
  <c r="AF48" i="26" s="1"/>
  <c r="AB49" i="26"/>
  <c r="E50" i="26"/>
  <c r="G50" i="26"/>
  <c r="J50" i="26"/>
  <c r="K50" i="26"/>
  <c r="M50" i="26"/>
  <c r="O50" i="26"/>
  <c r="Q50" i="26"/>
  <c r="S50" i="26"/>
  <c r="U50" i="26"/>
  <c r="W50" i="26"/>
  <c r="X50" i="26"/>
  <c r="Y50" i="26"/>
  <c r="Z50" i="26"/>
  <c r="AA50" i="26"/>
  <c r="AD50" i="26"/>
  <c r="AE50" i="26"/>
  <c r="AD61" i="26"/>
  <c r="AE61" i="26"/>
  <c r="E61" i="26"/>
  <c r="G61" i="26"/>
  <c r="I61" i="26"/>
  <c r="J61" i="26"/>
  <c r="K61" i="26"/>
  <c r="M61" i="26"/>
  <c r="N61" i="26"/>
  <c r="O61" i="26"/>
  <c r="P61" i="26"/>
  <c r="Q61" i="26"/>
  <c r="S61" i="26"/>
  <c r="U61" i="26"/>
  <c r="W61" i="26"/>
  <c r="X61" i="26"/>
  <c r="Z61" i="26"/>
  <c r="AA61" i="26"/>
  <c r="AC46" i="26"/>
  <c r="AG46" i="26" s="1"/>
  <c r="AC47" i="26"/>
  <c r="AB46" i="26"/>
  <c r="AF46" i="26" s="1"/>
  <c r="AB47" i="26"/>
  <c r="AF47" i="26" s="1"/>
  <c r="AG47" i="26" l="1"/>
  <c r="D21" i="26"/>
  <c r="D19" i="20" l="1"/>
  <c r="Y9" i="30" l="1"/>
  <c r="V9" i="30"/>
  <c r="I12" i="30"/>
  <c r="I11" i="30"/>
  <c r="I10" i="30"/>
  <c r="H6" i="30"/>
  <c r="Y8" i="27"/>
  <c r="Y9" i="27"/>
  <c r="V8" i="27"/>
  <c r="V9" i="27"/>
  <c r="D80" i="4" l="1"/>
  <c r="S6" i="25"/>
  <c r="P6" i="25"/>
  <c r="V12" i="24"/>
  <c r="V8" i="31"/>
  <c r="E44" i="1"/>
  <c r="E79" i="1"/>
  <c r="G15" i="2" s="1"/>
  <c r="AC43" i="26" l="1"/>
  <c r="AG43" i="26" s="1"/>
  <c r="AB43" i="26"/>
  <c r="AF43" i="26" s="1"/>
  <c r="D31" i="18"/>
  <c r="AB42" i="26"/>
  <c r="AC42" i="26"/>
  <c r="AG42" i="26" s="1"/>
  <c r="AI42" i="26" s="1"/>
  <c r="AF42" i="26"/>
  <c r="AH42" i="26" s="1"/>
  <c r="C31" i="18"/>
  <c r="X63" i="22"/>
  <c r="Z27" i="22"/>
  <c r="V30" i="22"/>
  <c r="V45" i="22" l="1"/>
  <c r="V44" i="22"/>
  <c r="D6" i="27"/>
  <c r="C54" i="6"/>
  <c r="E27" i="22"/>
  <c r="R20" i="26"/>
  <c r="I20" i="22"/>
  <c r="R50" i="26" l="1"/>
  <c r="R61" i="26"/>
  <c r="E45" i="22"/>
  <c r="E21" i="35"/>
  <c r="B22" i="35"/>
  <c r="B46" i="35"/>
  <c r="B95" i="35"/>
  <c r="G17" i="2"/>
  <c r="F17" i="2"/>
  <c r="D79" i="4"/>
  <c r="C79" i="4"/>
  <c r="D27" i="4"/>
  <c r="D28" i="4"/>
  <c r="C28" i="4"/>
  <c r="C27" i="4"/>
  <c r="E27" i="1"/>
  <c r="E28" i="1"/>
  <c r="D28" i="1"/>
  <c r="D27" i="1"/>
  <c r="E39" i="1"/>
  <c r="D39" i="1"/>
  <c r="D39" i="4"/>
  <c r="W63" i="22"/>
  <c r="C39" i="4" s="1"/>
  <c r="W47" i="22"/>
  <c r="X47" i="22"/>
  <c r="D26" i="26"/>
  <c r="H34" i="26"/>
  <c r="H8" i="26"/>
  <c r="H21" i="26"/>
  <c r="H30" i="26"/>
  <c r="H9" i="26"/>
  <c r="H31" i="26"/>
  <c r="H25" i="26"/>
  <c r="H24" i="26"/>
  <c r="H19" i="26"/>
  <c r="H20" i="26"/>
  <c r="T36" i="26"/>
  <c r="V41" i="26"/>
  <c r="L26" i="26"/>
  <c r="E29" i="22"/>
  <c r="E44" i="22" s="1"/>
  <c r="E14" i="1"/>
  <c r="I15" i="22"/>
  <c r="I13" i="22"/>
  <c r="C8" i="33"/>
  <c r="C12" i="33"/>
  <c r="D34" i="26"/>
  <c r="C11" i="20"/>
  <c r="C19" i="20" s="1"/>
  <c r="R8" i="31"/>
  <c r="D8" i="31"/>
  <c r="H7" i="27"/>
  <c r="P12" i="24"/>
  <c r="P7" i="24"/>
  <c r="P16" i="24"/>
  <c r="H15" i="28"/>
  <c r="W16" i="28"/>
  <c r="H16" i="28"/>
  <c r="H13" i="28"/>
  <c r="H14" i="28"/>
  <c r="H12" i="28"/>
  <c r="H11" i="28"/>
  <c r="H10" i="28"/>
  <c r="H9" i="28"/>
  <c r="H8" i="28"/>
  <c r="H7" i="28"/>
  <c r="H6" i="28"/>
  <c r="I19" i="22"/>
  <c r="D9" i="1" l="1"/>
  <c r="V62" i="26"/>
  <c r="V50" i="26"/>
  <c r="H61" i="26"/>
  <c r="I17" i="28"/>
  <c r="D6" i="26"/>
  <c r="D11" i="28"/>
  <c r="E6" i="27" l="1"/>
  <c r="U30" i="22" l="1"/>
  <c r="Z21" i="22"/>
  <c r="I21" i="22"/>
  <c r="T8" i="26"/>
  <c r="U45" i="22" l="1"/>
  <c r="U44" i="22"/>
  <c r="Y21" i="22"/>
  <c r="D14" i="1"/>
  <c r="C14" i="4" s="1"/>
  <c r="G10" i="28"/>
  <c r="H6" i="29" l="1"/>
  <c r="G6" i="27" l="1"/>
  <c r="F6" i="27"/>
  <c r="F7" i="27" s="1"/>
  <c r="I17" i="22" l="1"/>
  <c r="I45" i="22" s="1"/>
  <c r="I16" i="22"/>
  <c r="I44" i="22" s="1"/>
  <c r="I47" i="22"/>
  <c r="M25" i="22"/>
  <c r="F47" i="22"/>
  <c r="H47" i="22"/>
  <c r="J47" i="22"/>
  <c r="K47" i="22"/>
  <c r="L47" i="22"/>
  <c r="O47" i="22"/>
  <c r="Q47" i="22"/>
  <c r="R47" i="22"/>
  <c r="S47" i="22"/>
  <c r="T47" i="22"/>
  <c r="U47" i="22"/>
  <c r="V47" i="22"/>
  <c r="W64" i="22"/>
  <c r="X64" i="22"/>
  <c r="E47" i="22"/>
  <c r="H38" i="26"/>
  <c r="H41" i="26"/>
  <c r="P39" i="26"/>
  <c r="T38" i="26"/>
  <c r="T62" i="26" s="1"/>
  <c r="M47" i="22" l="1"/>
  <c r="M44" i="22"/>
  <c r="P62" i="26"/>
  <c r="P50" i="26"/>
  <c r="H62" i="26"/>
  <c r="H50" i="26"/>
  <c r="N29" i="26"/>
  <c r="F26" i="26"/>
  <c r="N62" i="26" l="1"/>
  <c r="N50" i="26"/>
  <c r="T19" i="26"/>
  <c r="D19" i="26"/>
  <c r="F19" i="26" l="1"/>
  <c r="D61" i="26"/>
  <c r="T50" i="26"/>
  <c r="T61" i="26"/>
  <c r="D29" i="26"/>
  <c r="D62" i="26" s="1"/>
  <c r="D50" i="26" l="1"/>
  <c r="Y11" i="22"/>
  <c r="Z11" i="22"/>
  <c r="Y12" i="22"/>
  <c r="Z12" i="22"/>
  <c r="Y13" i="22"/>
  <c r="Z13" i="22"/>
  <c r="D44" i="4" l="1"/>
  <c r="D43" i="4" s="1"/>
  <c r="D17" i="2"/>
  <c r="D20" i="2" s="1"/>
  <c r="E43" i="1"/>
  <c r="D11" i="27" l="1"/>
  <c r="D64" i="26" s="1"/>
  <c r="G9" i="23"/>
  <c r="H9" i="23"/>
  <c r="I9" i="23"/>
  <c r="J9" i="23"/>
  <c r="K9" i="23"/>
  <c r="L9" i="23"/>
  <c r="M9" i="23"/>
  <c r="N9" i="23"/>
  <c r="O9" i="23"/>
  <c r="R9" i="23"/>
  <c r="S9" i="23"/>
  <c r="G11" i="27"/>
  <c r="G64" i="26" s="1"/>
  <c r="I64" i="26"/>
  <c r="E12" i="27"/>
  <c r="F12" i="27"/>
  <c r="G12" i="27"/>
  <c r="H12" i="27"/>
  <c r="I12" i="27"/>
  <c r="J12" i="27"/>
  <c r="K12" i="27"/>
  <c r="L12" i="27"/>
  <c r="M12" i="27"/>
  <c r="N12" i="27"/>
  <c r="O12" i="27"/>
  <c r="P12" i="27"/>
  <c r="Q12" i="27"/>
  <c r="R12" i="27"/>
  <c r="S12" i="27"/>
  <c r="T12" i="27"/>
  <c r="U12" i="27"/>
  <c r="D12" i="27"/>
  <c r="E11" i="27"/>
  <c r="E64" i="26" s="1"/>
  <c r="F11" i="27"/>
  <c r="F64" i="26" s="1"/>
  <c r="H11" i="27"/>
  <c r="H64" i="26" s="1"/>
  <c r="J11" i="27"/>
  <c r="J64" i="26" s="1"/>
  <c r="K11" i="27"/>
  <c r="K64" i="26" s="1"/>
  <c r="L11" i="27"/>
  <c r="L64" i="26" s="1"/>
  <c r="M11" i="27"/>
  <c r="M64" i="26" s="1"/>
  <c r="N11" i="27"/>
  <c r="T64" i="26" s="1"/>
  <c r="O11" i="27"/>
  <c r="U64" i="26" s="1"/>
  <c r="P11" i="27"/>
  <c r="P64" i="26" s="1"/>
  <c r="Q11" i="27"/>
  <c r="Q64" i="26" s="1"/>
  <c r="R11" i="27"/>
  <c r="R64" i="26" s="1"/>
  <c r="S11" i="27"/>
  <c r="S64" i="26" s="1"/>
  <c r="T11" i="27"/>
  <c r="U11" i="27"/>
  <c r="F10" i="27"/>
  <c r="G10" i="27"/>
  <c r="H10" i="27"/>
  <c r="J10" i="27"/>
  <c r="K10" i="27"/>
  <c r="L10" i="27"/>
  <c r="M10" i="27"/>
  <c r="N10" i="27"/>
  <c r="O10" i="27"/>
  <c r="P10" i="27"/>
  <c r="Q10" i="27"/>
  <c r="R10" i="27"/>
  <c r="S10" i="27"/>
  <c r="T10" i="27"/>
  <c r="U10" i="27"/>
  <c r="D10" i="27"/>
  <c r="E10" i="27"/>
  <c r="X8" i="27"/>
  <c r="W8" i="27"/>
  <c r="AC64" i="26" l="1"/>
  <c r="D63" i="4"/>
  <c r="AB64" i="26"/>
  <c r="E11" i="23"/>
  <c r="F11" i="23"/>
  <c r="G11" i="23"/>
  <c r="H11" i="23"/>
  <c r="I11" i="23"/>
  <c r="J11" i="23"/>
  <c r="K11" i="23"/>
  <c r="L11" i="23"/>
  <c r="M11" i="23"/>
  <c r="N11" i="23"/>
  <c r="O11" i="23"/>
  <c r="P11" i="23"/>
  <c r="Q11" i="23"/>
  <c r="R11" i="23"/>
  <c r="S11" i="23"/>
  <c r="D11" i="23"/>
  <c r="E10" i="23"/>
  <c r="F10" i="23"/>
  <c r="G10" i="23"/>
  <c r="H10" i="23"/>
  <c r="I10" i="23"/>
  <c r="J10" i="23"/>
  <c r="K10" i="23"/>
  <c r="L10" i="23"/>
  <c r="M10" i="23"/>
  <c r="N10" i="23"/>
  <c r="O10" i="23"/>
  <c r="R10" i="23"/>
  <c r="S10" i="23"/>
  <c r="U10" i="23"/>
  <c r="D10" i="23"/>
  <c r="T8" i="23"/>
  <c r="V8" i="23"/>
  <c r="W8" i="23"/>
  <c r="D118" i="35" l="1"/>
  <c r="C118" i="35"/>
  <c r="E116" i="35"/>
  <c r="E115" i="35"/>
  <c r="E114" i="35"/>
  <c r="E113" i="35"/>
  <c r="C110" i="35"/>
  <c r="B110" i="35"/>
  <c r="E110" i="35" s="1"/>
  <c r="E109" i="35"/>
  <c r="E108" i="35"/>
  <c r="E107" i="35"/>
  <c r="E106" i="35"/>
  <c r="E105" i="35"/>
  <c r="E104" i="35"/>
  <c r="E103" i="35"/>
  <c r="E95" i="35"/>
  <c r="D99" i="35"/>
  <c r="C99" i="35"/>
  <c r="E97" i="35"/>
  <c r="E96" i="35"/>
  <c r="E94" i="35"/>
  <c r="C91" i="35"/>
  <c r="B91" i="35"/>
  <c r="E90" i="35"/>
  <c r="E89" i="35"/>
  <c r="E88" i="35"/>
  <c r="E87" i="35"/>
  <c r="E86" i="35"/>
  <c r="E85" i="35"/>
  <c r="E84" i="35"/>
  <c r="D80" i="35"/>
  <c r="C80" i="35"/>
  <c r="B80" i="35"/>
  <c r="E78" i="35"/>
  <c r="E77" i="35"/>
  <c r="E76" i="35"/>
  <c r="E75" i="35"/>
  <c r="C72" i="35"/>
  <c r="B72" i="35"/>
  <c r="E71" i="35"/>
  <c r="E70" i="35"/>
  <c r="E69" i="35"/>
  <c r="E68" i="35"/>
  <c r="E67" i="35"/>
  <c r="E66" i="35"/>
  <c r="E65" i="35"/>
  <c r="D61" i="35"/>
  <c r="C61" i="35"/>
  <c r="B61" i="35"/>
  <c r="E59" i="35"/>
  <c r="E58" i="35"/>
  <c r="E57" i="35"/>
  <c r="E56" i="35"/>
  <c r="C53" i="35"/>
  <c r="B53" i="35"/>
  <c r="E53" i="35" s="1"/>
  <c r="E52" i="35"/>
  <c r="E51" i="35"/>
  <c r="E50" i="35"/>
  <c r="E49" i="35"/>
  <c r="E48" i="35"/>
  <c r="E47" i="35"/>
  <c r="E46" i="35"/>
  <c r="C17" i="2"/>
  <c r="E91" i="35" l="1"/>
  <c r="E72" i="35"/>
  <c r="B99" i="35"/>
  <c r="E118" i="35"/>
  <c r="B118" i="35"/>
  <c r="E99" i="35"/>
  <c r="E80" i="35"/>
  <c r="E61" i="35"/>
  <c r="C63" i="4" l="1"/>
  <c r="Z37" i="22"/>
  <c r="Y37" i="22"/>
  <c r="AB23" i="26"/>
  <c r="AF23" i="26" s="1"/>
  <c r="AH23" i="26" s="1"/>
  <c r="AC23" i="26"/>
  <c r="AG23" i="26" s="1"/>
  <c r="AI23" i="26" l="1"/>
  <c r="AC24" i="26" l="1"/>
  <c r="AG24" i="26" s="1"/>
  <c r="Q19" i="24"/>
  <c r="AE70" i="26" s="1"/>
  <c r="AI24" i="26" l="1"/>
  <c r="P19" i="24"/>
  <c r="AD70" i="26" s="1"/>
  <c r="AD64" i="26" l="1"/>
  <c r="AA46" i="22"/>
  <c r="P10" i="23"/>
  <c r="AA54" i="22"/>
  <c r="AE64" i="26"/>
  <c r="Q10" i="23"/>
  <c r="AE65" i="26" l="1"/>
  <c r="AD65" i="26"/>
  <c r="AB45" i="26" l="1"/>
  <c r="AF45" i="26" s="1"/>
  <c r="AH45" i="26" s="1"/>
  <c r="AC45" i="26"/>
  <c r="AG45" i="26" s="1"/>
  <c r="AI45" i="26" s="1"/>
  <c r="J63" i="26" l="1"/>
  <c r="K63" i="26"/>
  <c r="L63" i="26"/>
  <c r="M63" i="26"/>
  <c r="P63" i="26"/>
  <c r="Q63" i="26"/>
  <c r="R63" i="26"/>
  <c r="S63" i="26"/>
  <c r="V63" i="26"/>
  <c r="W63" i="26"/>
  <c r="X63" i="26"/>
  <c r="Y63" i="26"/>
  <c r="Z63" i="26"/>
  <c r="AA63" i="26"/>
  <c r="AB36" i="26"/>
  <c r="AF36" i="26" s="1"/>
  <c r="AH36" i="26" s="1"/>
  <c r="AC36" i="26"/>
  <c r="AG36" i="26" s="1"/>
  <c r="AI36" i="26" s="1"/>
  <c r="AB37" i="26"/>
  <c r="AF37" i="26" s="1"/>
  <c r="AH37" i="26" s="1"/>
  <c r="AC37" i="26"/>
  <c r="AG37" i="26" s="1"/>
  <c r="AI37" i="26" s="1"/>
  <c r="AB38" i="26"/>
  <c r="AC38" i="26"/>
  <c r="AG38" i="26" s="1"/>
  <c r="AI38" i="26" s="1"/>
  <c r="AB39" i="26"/>
  <c r="AF39" i="26" s="1"/>
  <c r="AH39" i="26" s="1"/>
  <c r="AC39" i="26"/>
  <c r="AG39" i="26" s="1"/>
  <c r="AI39" i="26" s="1"/>
  <c r="AF38" i="26" l="1"/>
  <c r="AH38" i="26" s="1"/>
  <c r="AB44" i="26"/>
  <c r="AF44" i="26" s="1"/>
  <c r="AH44" i="26" s="1"/>
  <c r="AC44" i="26"/>
  <c r="AG44" i="26" s="1"/>
  <c r="AI44" i="26" s="1"/>
  <c r="Z34" i="22" l="1"/>
  <c r="Y34" i="22"/>
  <c r="Y31" i="22"/>
  <c r="Z31" i="22"/>
  <c r="Y32" i="22"/>
  <c r="Z32" i="22"/>
  <c r="Y33" i="22"/>
  <c r="Z33" i="22"/>
  <c r="L32" i="26"/>
  <c r="L61" i="26" l="1"/>
  <c r="L50" i="26"/>
  <c r="T14" i="24"/>
  <c r="U14" i="24"/>
  <c r="V14" i="24"/>
  <c r="D18" i="28" l="1"/>
  <c r="D17" i="28"/>
  <c r="F13" i="28" l="1"/>
  <c r="V13" i="28" s="1"/>
  <c r="F14" i="28"/>
  <c r="V14" i="28" s="1"/>
  <c r="W14" i="28"/>
  <c r="X14" i="28" l="1"/>
  <c r="W13" i="28"/>
  <c r="X13" i="28" s="1"/>
  <c r="G9" i="28"/>
  <c r="F7" i="28"/>
  <c r="F8" i="28"/>
  <c r="F9" i="28"/>
  <c r="F10" i="28"/>
  <c r="F11" i="28"/>
  <c r="V11" i="28" s="1"/>
  <c r="F12" i="28"/>
  <c r="F15" i="28"/>
  <c r="F16" i="28"/>
  <c r="F6" i="28"/>
  <c r="V6" i="28" s="1"/>
  <c r="G17" i="28" l="1"/>
  <c r="W6" i="28"/>
  <c r="X6" i="28" s="1"/>
  <c r="E10" i="32" l="1"/>
  <c r="D10" i="32"/>
  <c r="C10" i="32"/>
  <c r="AB24" i="26" l="1"/>
  <c r="D42" i="35"/>
  <c r="C42" i="35"/>
  <c r="B42" i="35"/>
  <c r="E40" i="35"/>
  <c r="E39" i="35"/>
  <c r="E38" i="35"/>
  <c r="E37" i="35"/>
  <c r="C34" i="35"/>
  <c r="B34" i="35"/>
  <c r="E33" i="35"/>
  <c r="E32" i="35"/>
  <c r="E31" i="35"/>
  <c r="E30" i="35"/>
  <c r="E29" i="35"/>
  <c r="E28" i="35"/>
  <c r="E27" i="35"/>
  <c r="D22" i="35"/>
  <c r="C22" i="35"/>
  <c r="E20" i="35"/>
  <c r="E19" i="35"/>
  <c r="E18" i="35"/>
  <c r="E17" i="35"/>
  <c r="C14" i="35"/>
  <c r="B14" i="35"/>
  <c r="E13" i="35"/>
  <c r="E12" i="35"/>
  <c r="E11" i="35"/>
  <c r="E10" i="35"/>
  <c r="E9" i="35"/>
  <c r="E8" i="35"/>
  <c r="E7" i="35"/>
  <c r="F10" i="32"/>
  <c r="C15" i="2"/>
  <c r="C20" i="2" s="1"/>
  <c r="D17" i="7"/>
  <c r="C17" i="7"/>
  <c r="F16" i="2"/>
  <c r="C84" i="4"/>
  <c r="D83" i="1"/>
  <c r="E25" i="1"/>
  <c r="E26" i="1"/>
  <c r="E29" i="1"/>
  <c r="E30" i="1"/>
  <c r="E31" i="1"/>
  <c r="E34" i="35" l="1"/>
  <c r="E24" i="1"/>
  <c r="E23" i="1" s="1"/>
  <c r="E14" i="35"/>
  <c r="E42" i="35"/>
  <c r="E22" i="35"/>
  <c r="Y29" i="22"/>
  <c r="Z29" i="22"/>
  <c r="Y30" i="22"/>
  <c r="Z30" i="22"/>
  <c r="Y35" i="22" l="1"/>
  <c r="Z35" i="22"/>
  <c r="Y36" i="22"/>
  <c r="Z36" i="22"/>
  <c r="AC41" i="26" l="1"/>
  <c r="AG41" i="26" s="1"/>
  <c r="AI41" i="26" s="1"/>
  <c r="AB41" i="26"/>
  <c r="AB40" i="26"/>
  <c r="AC40" i="26"/>
  <c r="AG40" i="26" s="1"/>
  <c r="AI40" i="26" s="1"/>
  <c r="D78" i="1"/>
  <c r="F21" i="26"/>
  <c r="F6" i="26"/>
  <c r="J79" i="26"/>
  <c r="D20" i="24"/>
  <c r="F61" i="26" l="1"/>
  <c r="AF41" i="26"/>
  <c r="AH41" i="26" s="1"/>
  <c r="AF40" i="26"/>
  <c r="AH40" i="26" s="1"/>
  <c r="E21" i="1"/>
  <c r="F34" i="26"/>
  <c r="F62" i="26" s="1"/>
  <c r="F50" i="26" l="1"/>
  <c r="D11" i="4"/>
  <c r="C11" i="4"/>
  <c r="T7" i="23" l="1"/>
  <c r="T10" i="23" l="1"/>
  <c r="D14" i="33"/>
  <c r="C12" i="4" l="1"/>
  <c r="Z77" i="26"/>
  <c r="E66" i="1" l="1"/>
  <c r="AB22" i="26" l="1"/>
  <c r="AF22" i="26" s="1"/>
  <c r="AH22" i="26" s="1"/>
  <c r="AF24" i="26"/>
  <c r="AB25" i="26"/>
  <c r="AF25" i="26" s="1"/>
  <c r="AH25" i="26" s="1"/>
  <c r="AB26" i="26"/>
  <c r="AB27" i="26"/>
  <c r="AF27" i="26" s="1"/>
  <c r="AH27" i="26" s="1"/>
  <c r="AB28" i="26"/>
  <c r="AF28" i="26" s="1"/>
  <c r="AH28" i="26" s="1"/>
  <c r="AB29" i="26"/>
  <c r="AF29" i="26" s="1"/>
  <c r="AH29" i="26" s="1"/>
  <c r="AB30" i="26"/>
  <c r="AF30" i="26" s="1"/>
  <c r="AH30" i="26" s="1"/>
  <c r="AB31" i="26"/>
  <c r="AF31" i="26" s="1"/>
  <c r="AH31" i="26" s="1"/>
  <c r="AB32" i="26"/>
  <c r="AF32" i="26" s="1"/>
  <c r="AH32" i="26" s="1"/>
  <c r="AB33" i="26"/>
  <c r="AF33" i="26" s="1"/>
  <c r="AH33" i="26" s="1"/>
  <c r="AB35" i="26"/>
  <c r="AF35" i="26" s="1"/>
  <c r="AH35" i="26" s="1"/>
  <c r="AB13" i="26"/>
  <c r="AB14" i="26"/>
  <c r="AF14" i="26" s="1"/>
  <c r="AH14" i="26" s="1"/>
  <c r="AB15" i="26"/>
  <c r="AF15" i="26" s="1"/>
  <c r="AH15" i="26" s="1"/>
  <c r="AB16" i="26"/>
  <c r="AF16" i="26" s="1"/>
  <c r="AH16" i="26" s="1"/>
  <c r="AB17" i="26"/>
  <c r="AF17" i="26" s="1"/>
  <c r="AH17" i="26" s="1"/>
  <c r="AB18" i="26"/>
  <c r="AB19" i="26"/>
  <c r="AF19" i="26" s="1"/>
  <c r="AH19" i="26" s="1"/>
  <c r="AB20" i="26"/>
  <c r="AF20" i="26" s="1"/>
  <c r="AB7" i="26"/>
  <c r="AF7" i="26" s="1"/>
  <c r="AH7" i="26" s="1"/>
  <c r="AB8" i="26"/>
  <c r="AF8" i="26" s="1"/>
  <c r="AH8" i="26" s="1"/>
  <c r="AB9" i="26"/>
  <c r="AB10" i="26"/>
  <c r="AF10" i="26" s="1"/>
  <c r="AH10" i="26" s="1"/>
  <c r="AB11" i="26"/>
  <c r="AF11" i="26" s="1"/>
  <c r="AH11" i="26" s="1"/>
  <c r="AH24" i="26" l="1"/>
  <c r="AH20" i="26"/>
  <c r="AF13" i="26"/>
  <c r="AF18" i="26"/>
  <c r="AH18" i="26" s="1"/>
  <c r="AF9" i="26"/>
  <c r="AH9" i="26" s="1"/>
  <c r="AF26" i="26"/>
  <c r="AH26" i="26" s="1"/>
  <c r="AC7" i="26"/>
  <c r="AC8" i="26"/>
  <c r="AG8" i="26" s="1"/>
  <c r="AC9" i="26"/>
  <c r="AG9" i="26" s="1"/>
  <c r="AC10" i="26"/>
  <c r="AG10" i="26" s="1"/>
  <c r="AC11" i="26"/>
  <c r="AG11" i="26" s="1"/>
  <c r="AC12" i="26"/>
  <c r="AG12" i="26" s="1"/>
  <c r="AC13" i="26"/>
  <c r="AC14" i="26"/>
  <c r="AC15" i="26"/>
  <c r="AG15" i="26" s="1"/>
  <c r="AC16" i="26"/>
  <c r="AG16" i="26" s="1"/>
  <c r="AC17" i="26"/>
  <c r="AG17" i="26" s="1"/>
  <c r="AC18" i="26"/>
  <c r="AG18" i="26" s="1"/>
  <c r="AC19" i="26"/>
  <c r="AG19" i="26" s="1"/>
  <c r="AC20" i="26"/>
  <c r="AG20" i="26" s="1"/>
  <c r="AI20" i="26" s="1"/>
  <c r="AC22" i="26"/>
  <c r="AG22" i="26" s="1"/>
  <c r="AC25" i="26"/>
  <c r="AG25" i="26" s="1"/>
  <c r="AC26" i="26"/>
  <c r="AG26" i="26" s="1"/>
  <c r="AC27" i="26"/>
  <c r="AG27" i="26" s="1"/>
  <c r="AC28" i="26"/>
  <c r="AG28" i="26" s="1"/>
  <c r="AC29" i="26"/>
  <c r="AG29" i="26" s="1"/>
  <c r="AC30" i="26"/>
  <c r="AG30" i="26" s="1"/>
  <c r="AI30" i="26" s="1"/>
  <c r="AC31" i="26"/>
  <c r="AG31" i="26" s="1"/>
  <c r="AI31" i="26" s="1"/>
  <c r="AC32" i="26"/>
  <c r="AG32" i="26" s="1"/>
  <c r="AI32" i="26" s="1"/>
  <c r="AC33" i="26"/>
  <c r="AG33" i="26" s="1"/>
  <c r="AI33" i="26" s="1"/>
  <c r="AC35" i="26"/>
  <c r="AG35" i="26" s="1"/>
  <c r="AI35" i="26" s="1"/>
  <c r="AB12" i="26"/>
  <c r="AF12" i="26" s="1"/>
  <c r="AH12" i="26" s="1"/>
  <c r="Q77" i="26"/>
  <c r="R77" i="26"/>
  <c r="X77" i="26"/>
  <c r="I78" i="26"/>
  <c r="J78" i="26"/>
  <c r="K78" i="26"/>
  <c r="L78" i="26"/>
  <c r="M78" i="26"/>
  <c r="N78" i="26"/>
  <c r="O78" i="26"/>
  <c r="P78" i="26"/>
  <c r="Q78" i="26"/>
  <c r="R78" i="26"/>
  <c r="S78" i="26"/>
  <c r="T78" i="26"/>
  <c r="U78" i="26"/>
  <c r="V78" i="26"/>
  <c r="W78" i="26"/>
  <c r="X78" i="26"/>
  <c r="Y78" i="26"/>
  <c r="Z78" i="26"/>
  <c r="AA78" i="26"/>
  <c r="Y79" i="26"/>
  <c r="J77" i="26"/>
  <c r="K77" i="26"/>
  <c r="D59" i="4" s="1"/>
  <c r="P77" i="26"/>
  <c r="S77" i="26"/>
  <c r="Y77" i="26"/>
  <c r="AA77" i="26"/>
  <c r="K79" i="26"/>
  <c r="L79" i="26"/>
  <c r="M79" i="26"/>
  <c r="N79" i="26"/>
  <c r="C62" i="5" s="1"/>
  <c r="O79" i="26"/>
  <c r="D62" i="5" s="1"/>
  <c r="P79" i="26"/>
  <c r="C72" i="5" s="1"/>
  <c r="Q79" i="26"/>
  <c r="D72" i="5" s="1"/>
  <c r="R79" i="26"/>
  <c r="C73" i="5" s="1"/>
  <c r="S79" i="26"/>
  <c r="D73" i="5" s="1"/>
  <c r="V79" i="26"/>
  <c r="C70" i="5" s="1"/>
  <c r="W79" i="26"/>
  <c r="D70" i="5" s="1"/>
  <c r="X79" i="26"/>
  <c r="Z79" i="26"/>
  <c r="AA79" i="26"/>
  <c r="AG14" i="26" l="1"/>
  <c r="AI14" i="26" s="1"/>
  <c r="AG7" i="26"/>
  <c r="AI7" i="26" s="1"/>
  <c r="AH13" i="26"/>
  <c r="AI8" i="26"/>
  <c r="AI18" i="26"/>
  <c r="AI17" i="26"/>
  <c r="AI9" i="26"/>
  <c r="AI22" i="26"/>
  <c r="AI15" i="26"/>
  <c r="AI29" i="26"/>
  <c r="AI19" i="26"/>
  <c r="AI28" i="26"/>
  <c r="AG13" i="26"/>
  <c r="AI27" i="26"/>
  <c r="AI12" i="26"/>
  <c r="AI26" i="26"/>
  <c r="AI11" i="26"/>
  <c r="AI16" i="26"/>
  <c r="AI25" i="26"/>
  <c r="AI10" i="26"/>
  <c r="AC34" i="26"/>
  <c r="AG34" i="26" s="1"/>
  <c r="AI34" i="26" s="1"/>
  <c r="AG62" i="26" l="1"/>
  <c r="AC62" i="26"/>
  <c r="AI13" i="26"/>
  <c r="AI62" i="26" s="1"/>
  <c r="G63" i="22" l="1"/>
  <c r="H63" i="22"/>
  <c r="K63" i="22"/>
  <c r="R63" i="22"/>
  <c r="S63" i="22"/>
  <c r="F65" i="22"/>
  <c r="G65" i="22"/>
  <c r="H65" i="22"/>
  <c r="I65" i="22"/>
  <c r="J65" i="22"/>
  <c r="K65" i="22"/>
  <c r="L65" i="22"/>
  <c r="M65" i="22"/>
  <c r="N65" i="22"/>
  <c r="O65" i="22"/>
  <c r="P65" i="22"/>
  <c r="Q65" i="22"/>
  <c r="R65" i="22"/>
  <c r="S65" i="22"/>
  <c r="T65" i="22"/>
  <c r="U65" i="22"/>
  <c r="V65" i="22"/>
  <c r="W65" i="22"/>
  <c r="W66" i="22" s="1"/>
  <c r="X65" i="22"/>
  <c r="X66" i="22" s="1"/>
  <c r="L63" i="22"/>
  <c r="Q63" i="22"/>
  <c r="T63" i="22"/>
  <c r="D33" i="4" s="1"/>
  <c r="Y26" i="22"/>
  <c r="E20" i="24" l="1"/>
  <c r="F57" i="22" s="1"/>
  <c r="F20" i="24"/>
  <c r="G20" i="24"/>
  <c r="H20" i="24"/>
  <c r="I20" i="24"/>
  <c r="J20" i="24"/>
  <c r="K20" i="24"/>
  <c r="L20" i="24"/>
  <c r="M20" i="24"/>
  <c r="N20" i="24"/>
  <c r="O20" i="24"/>
  <c r="P20" i="24"/>
  <c r="AD71" i="26" s="1"/>
  <c r="Q20" i="24"/>
  <c r="AE71" i="26" s="1"/>
  <c r="R20" i="24"/>
  <c r="S20" i="24"/>
  <c r="E19" i="24"/>
  <c r="F19" i="24"/>
  <c r="G19" i="24"/>
  <c r="H19" i="24"/>
  <c r="I19" i="24"/>
  <c r="J19" i="24"/>
  <c r="K19" i="24"/>
  <c r="L19" i="24"/>
  <c r="M19" i="24"/>
  <c r="N19" i="24"/>
  <c r="O19" i="24"/>
  <c r="R19" i="24"/>
  <c r="S19" i="24"/>
  <c r="D19" i="24"/>
  <c r="E56" i="22" s="1"/>
  <c r="E57" i="22"/>
  <c r="E18" i="24"/>
  <c r="D18" i="24"/>
  <c r="G64" i="22"/>
  <c r="G66" i="22" s="1"/>
  <c r="H64" i="22"/>
  <c r="H66" i="22" s="1"/>
  <c r="I64" i="22"/>
  <c r="J64" i="22"/>
  <c r="K64" i="22"/>
  <c r="K66" i="22" s="1"/>
  <c r="L64" i="22"/>
  <c r="L66" i="22" s="1"/>
  <c r="M64" i="22"/>
  <c r="N64" i="22"/>
  <c r="O64" i="22"/>
  <c r="P64" i="22"/>
  <c r="S64" i="22"/>
  <c r="S66" i="22" s="1"/>
  <c r="T64" i="22"/>
  <c r="T66" i="22" s="1"/>
  <c r="D33" i="1" l="1"/>
  <c r="D10" i="2"/>
  <c r="I63" i="22" l="1"/>
  <c r="I66" i="22" s="1"/>
  <c r="N63" i="22" l="1"/>
  <c r="N66" i="22" s="1"/>
  <c r="M63" i="22"/>
  <c r="M66" i="22" s="1"/>
  <c r="O63" i="22"/>
  <c r="O66" i="22" s="1"/>
  <c r="P63" i="22"/>
  <c r="P66" i="22" s="1"/>
  <c r="AB21" i="26"/>
  <c r="AF21" i="26" s="1"/>
  <c r="AH21" i="26" s="1"/>
  <c r="AC6" i="26"/>
  <c r="AB6" i="26"/>
  <c r="AC21" i="26"/>
  <c r="AG6" i="26" l="1"/>
  <c r="AC50" i="26"/>
  <c r="AB61" i="26"/>
  <c r="AG21" i="26"/>
  <c r="AI21" i="26" s="1"/>
  <c r="AC61" i="26"/>
  <c r="AI6" i="26"/>
  <c r="D8" i="2"/>
  <c r="V7" i="30"/>
  <c r="V8" i="30"/>
  <c r="W7" i="30"/>
  <c r="X7" i="30"/>
  <c r="AG50" i="26" l="1"/>
  <c r="AA53" i="22" s="1"/>
  <c r="AG61" i="26"/>
  <c r="AI50" i="26"/>
  <c r="Y50" i="22"/>
  <c r="Y51" i="22"/>
  <c r="Y65" i="22" s="1"/>
  <c r="Y54" i="22"/>
  <c r="C66" i="4" l="1"/>
  <c r="D66" i="4"/>
  <c r="D84" i="4"/>
  <c r="D78" i="4"/>
  <c r="D54" i="6"/>
  <c r="D55" i="6"/>
  <c r="D11" i="5"/>
  <c r="D26" i="4"/>
  <c r="D29" i="4"/>
  <c r="D30" i="4"/>
  <c r="D31" i="4"/>
  <c r="D12" i="4"/>
  <c r="D13" i="4"/>
  <c r="D17" i="4" l="1"/>
  <c r="D15" i="4" s="1"/>
  <c r="E83" i="1" l="1"/>
  <c r="E78" i="1"/>
  <c r="E13" i="1"/>
  <c r="E9" i="1"/>
  <c r="D9" i="4" s="1"/>
  <c r="E10" i="1"/>
  <c r="D10" i="4" s="1"/>
  <c r="E11" i="1"/>
  <c r="E12" i="1"/>
  <c r="C9" i="4"/>
  <c r="D10" i="1"/>
  <c r="C10" i="4" s="1"/>
  <c r="G16" i="2"/>
  <c r="D21" i="5"/>
  <c r="Y38" i="22"/>
  <c r="D17" i="5"/>
  <c r="Y14" i="22" l="1"/>
  <c r="Z14" i="22"/>
  <c r="Z15" i="22"/>
  <c r="Z16" i="22"/>
  <c r="Z17" i="22"/>
  <c r="Z18" i="22"/>
  <c r="Z19" i="22"/>
  <c r="Z20" i="22"/>
  <c r="Z22" i="22"/>
  <c r="Z23" i="22"/>
  <c r="Z24" i="22"/>
  <c r="Z25" i="22"/>
  <c r="Z26" i="22"/>
  <c r="Z28" i="22"/>
  <c r="AI61" i="26"/>
  <c r="I63" i="26"/>
  <c r="G65" i="26"/>
  <c r="G78" i="26" s="1"/>
  <c r="E65" i="26"/>
  <c r="E78" i="26" s="1"/>
  <c r="Z47" i="22" l="1"/>
  <c r="E63" i="26"/>
  <c r="G63" i="26"/>
  <c r="AC65" i="26"/>
  <c r="AC78" i="26" s="1"/>
  <c r="AI81" i="26"/>
  <c r="AB34" i="26" l="1"/>
  <c r="AB62" i="26" l="1"/>
  <c r="AB50" i="26"/>
  <c r="AF34" i="26"/>
  <c r="AF62" i="26" s="1"/>
  <c r="U12" i="24"/>
  <c r="V7" i="24"/>
  <c r="V8" i="24"/>
  <c r="V9" i="24"/>
  <c r="V10" i="24"/>
  <c r="V11" i="24"/>
  <c r="V13" i="24"/>
  <c r="V15" i="24"/>
  <c r="V16" i="24"/>
  <c r="V17" i="24"/>
  <c r="V6" i="24"/>
  <c r="T6" i="24"/>
  <c r="U10" i="24"/>
  <c r="U11" i="24"/>
  <c r="U15" i="24"/>
  <c r="U16" i="24"/>
  <c r="U7" i="24"/>
  <c r="U8" i="24"/>
  <c r="U13" i="24"/>
  <c r="U17" i="24"/>
  <c r="U6" i="24"/>
  <c r="U9" i="24"/>
  <c r="W11" i="28"/>
  <c r="X11" i="28" s="1"/>
  <c r="W12" i="28"/>
  <c r="AH34" i="26" l="1"/>
  <c r="AH62" i="26" s="1"/>
  <c r="V19" i="24"/>
  <c r="U19" i="24"/>
  <c r="U20" i="24"/>
  <c r="U18" i="24"/>
  <c r="V20" i="24"/>
  <c r="V18" i="24"/>
  <c r="V9" i="31"/>
  <c r="Y7" i="30"/>
  <c r="Y12" i="30" s="1"/>
  <c r="Y8" i="30"/>
  <c r="Y6" i="30"/>
  <c r="Y11" i="30" s="1"/>
  <c r="D11" i="30"/>
  <c r="I74" i="26"/>
  <c r="W7" i="23"/>
  <c r="W10" i="23" l="1"/>
  <c r="E14" i="32" l="1"/>
  <c r="D14" i="32"/>
  <c r="C14" i="32"/>
  <c r="F9" i="32"/>
  <c r="F14" i="32" l="1"/>
  <c r="C14" i="33"/>
  <c r="X61" i="22"/>
  <c r="X67" i="22" s="1"/>
  <c r="W61" i="22"/>
  <c r="W67" i="22" s="1"/>
  <c r="D66" i="1" l="1"/>
  <c r="D30" i="1"/>
  <c r="D29" i="1"/>
  <c r="D26" i="1"/>
  <c r="D25" i="1"/>
  <c r="D12" i="1"/>
  <c r="D11" i="1"/>
  <c r="U49" i="22" l="1"/>
  <c r="C30" i="4" l="1"/>
  <c r="C29" i="4"/>
  <c r="C26" i="4"/>
  <c r="C25" i="4"/>
  <c r="C11" i="5"/>
  <c r="C24" i="4" l="1"/>
  <c r="Y7" i="22"/>
  <c r="Y8" i="22"/>
  <c r="Y9" i="22"/>
  <c r="Y15" i="22"/>
  <c r="Y16" i="22"/>
  <c r="Y17" i="22"/>
  <c r="Y18" i="22"/>
  <c r="Y19" i="22"/>
  <c r="Y22" i="22"/>
  <c r="Y23" i="22"/>
  <c r="Y24" i="22"/>
  <c r="Y25" i="22"/>
  <c r="Y28" i="22"/>
  <c r="Y6" i="22"/>
  <c r="D73" i="26"/>
  <c r="F11" i="30"/>
  <c r="F73" i="26" s="1"/>
  <c r="AB68" i="26"/>
  <c r="H65" i="26"/>
  <c r="H78" i="26" s="1"/>
  <c r="F65" i="26"/>
  <c r="F78" i="26" s="1"/>
  <c r="D65" i="26"/>
  <c r="D78" i="26" s="1"/>
  <c r="C56" i="6"/>
  <c r="C55" i="6"/>
  <c r="Y47" i="22" l="1"/>
  <c r="D63" i="26"/>
  <c r="F63" i="26"/>
  <c r="Y27" i="22"/>
  <c r="AB65" i="26"/>
  <c r="AB78" i="26" s="1"/>
  <c r="D59" i="26"/>
  <c r="D13" i="1"/>
  <c r="T6" i="23"/>
  <c r="V7" i="27"/>
  <c r="V11" i="27" s="1"/>
  <c r="V6" i="27"/>
  <c r="V10" i="27" l="1"/>
  <c r="V12" i="27"/>
  <c r="T11" i="23"/>
  <c r="T9" i="23"/>
  <c r="D31" i="1"/>
  <c r="D24" i="1" s="1"/>
  <c r="D23" i="1" s="1"/>
  <c r="C31" i="4"/>
  <c r="C23" i="4" s="1"/>
  <c r="Y10" i="22"/>
  <c r="C13" i="4"/>
  <c r="Y20" i="22"/>
  <c r="V7" i="29"/>
  <c r="F56" i="22"/>
  <c r="U56" i="22"/>
  <c r="U63" i="22" s="1"/>
  <c r="Y57" i="22"/>
  <c r="Y44" i="22" l="1"/>
  <c r="Y45" i="22"/>
  <c r="AA44" i="22"/>
  <c r="F55" i="22"/>
  <c r="Y56" i="22"/>
  <c r="Y55" i="22" l="1"/>
  <c r="D25" i="4"/>
  <c r="D24" i="4" s="1"/>
  <c r="D17" i="1" l="1"/>
  <c r="D21" i="1"/>
  <c r="D19" i="1" s="1"/>
  <c r="D14" i="4" l="1"/>
  <c r="E82" i="1" l="1"/>
  <c r="H48" i="22"/>
  <c r="I48" i="22"/>
  <c r="J48" i="22"/>
  <c r="K48" i="22"/>
  <c r="L48" i="22"/>
  <c r="M48" i="22"/>
  <c r="N48" i="22"/>
  <c r="O48" i="22"/>
  <c r="P48" i="22"/>
  <c r="Q48" i="22"/>
  <c r="R48" i="22"/>
  <c r="S48" i="22"/>
  <c r="T48" i="22"/>
  <c r="U48" i="22"/>
  <c r="Y7" i="27" l="1"/>
  <c r="Y11" i="27" s="1"/>
  <c r="R7" i="25" l="1"/>
  <c r="S58" i="22" l="1"/>
  <c r="T58" i="22"/>
  <c r="S55" i="22"/>
  <c r="T55" i="22"/>
  <c r="S52" i="22"/>
  <c r="T52" i="22"/>
  <c r="T61" i="22" l="1"/>
  <c r="T67" i="22" s="1"/>
  <c r="S61" i="22"/>
  <c r="S67" i="22" s="1"/>
  <c r="E33" i="1"/>
  <c r="D9" i="7" s="1"/>
  <c r="E10" i="25"/>
  <c r="F10" i="25"/>
  <c r="G10" i="25"/>
  <c r="H10" i="25"/>
  <c r="I10" i="25"/>
  <c r="J10" i="25"/>
  <c r="K10" i="25"/>
  <c r="L10" i="25"/>
  <c r="M10" i="25"/>
  <c r="N10" i="25"/>
  <c r="O10" i="25"/>
  <c r="P10" i="25"/>
  <c r="Q10" i="25"/>
  <c r="R10" i="25"/>
  <c r="S10" i="25"/>
  <c r="D10" i="25"/>
  <c r="E9" i="25"/>
  <c r="F53" i="22" s="1"/>
  <c r="F9" i="25"/>
  <c r="G9" i="25"/>
  <c r="H9" i="25"/>
  <c r="I9" i="25"/>
  <c r="J9" i="25"/>
  <c r="K9" i="25"/>
  <c r="L9" i="25"/>
  <c r="M9" i="25"/>
  <c r="N9" i="25"/>
  <c r="O9" i="25"/>
  <c r="V53" i="22" s="1"/>
  <c r="P9" i="25"/>
  <c r="AD67" i="26" s="1"/>
  <c r="Q9" i="25"/>
  <c r="AE67" i="26" s="1"/>
  <c r="D9" i="25"/>
  <c r="E53" i="22" s="1"/>
  <c r="Y53" i="22" s="1"/>
  <c r="Y52" i="22" s="1"/>
  <c r="S7" i="25"/>
  <c r="E8" i="25"/>
  <c r="F8" i="25"/>
  <c r="G8" i="25"/>
  <c r="H8" i="25"/>
  <c r="I8" i="25"/>
  <c r="J8" i="25"/>
  <c r="K8" i="25"/>
  <c r="L8" i="25"/>
  <c r="M8" i="25"/>
  <c r="N8" i="25"/>
  <c r="O8" i="25"/>
  <c r="P8" i="25"/>
  <c r="AA48" i="22" s="1"/>
  <c r="Q8" i="25"/>
  <c r="AA56" i="22" s="1"/>
  <c r="D8" i="25"/>
  <c r="Y7" i="29"/>
  <c r="V10" i="29"/>
  <c r="W10" i="29"/>
  <c r="X10" i="29"/>
  <c r="Y10" i="29"/>
  <c r="E10" i="29"/>
  <c r="F10" i="29"/>
  <c r="G10" i="29"/>
  <c r="H10" i="29"/>
  <c r="I10" i="29"/>
  <c r="J10" i="29"/>
  <c r="K10" i="29"/>
  <c r="L10" i="29"/>
  <c r="M10" i="29"/>
  <c r="N10" i="29"/>
  <c r="O10" i="29"/>
  <c r="P10" i="29"/>
  <c r="Q10" i="29"/>
  <c r="R10" i="29"/>
  <c r="S10" i="29"/>
  <c r="T10" i="29"/>
  <c r="U10" i="29"/>
  <c r="D10" i="29"/>
  <c r="E9" i="29"/>
  <c r="E67" i="26" s="1"/>
  <c r="F9" i="29"/>
  <c r="F67" i="26" s="1"/>
  <c r="G9" i="29"/>
  <c r="G67" i="26" s="1"/>
  <c r="H9" i="29"/>
  <c r="H67" i="26" s="1"/>
  <c r="I9" i="29"/>
  <c r="I67" i="26" s="1"/>
  <c r="J9" i="29"/>
  <c r="K9" i="29"/>
  <c r="L9" i="29"/>
  <c r="M9" i="29"/>
  <c r="N9" i="29"/>
  <c r="T67" i="26" s="1"/>
  <c r="O9" i="29"/>
  <c r="U67" i="26" s="1"/>
  <c r="P9" i="29"/>
  <c r="Q9" i="29"/>
  <c r="W67" i="26" s="1"/>
  <c r="W77" i="26" s="1"/>
  <c r="D72" i="4" s="1"/>
  <c r="R9" i="29"/>
  <c r="S9" i="29"/>
  <c r="T9" i="29"/>
  <c r="U9" i="29"/>
  <c r="D9" i="29"/>
  <c r="D67" i="26" s="1"/>
  <c r="O8" i="29"/>
  <c r="E8" i="29"/>
  <c r="F8" i="29"/>
  <c r="G8" i="29"/>
  <c r="H8" i="29"/>
  <c r="I8" i="29"/>
  <c r="J8" i="29"/>
  <c r="K8" i="29"/>
  <c r="L8" i="29"/>
  <c r="M8" i="29"/>
  <c r="N8" i="29"/>
  <c r="P8" i="29"/>
  <c r="Q8" i="29"/>
  <c r="R8" i="29"/>
  <c r="S8" i="29"/>
  <c r="T8" i="29"/>
  <c r="U8" i="29"/>
  <c r="D8" i="29"/>
  <c r="AC67" i="26" l="1"/>
  <c r="AB67" i="26"/>
  <c r="D8" i="4"/>
  <c r="Z7" i="22" l="1"/>
  <c r="Z8" i="22"/>
  <c r="Z9" i="22"/>
  <c r="Z10" i="22"/>
  <c r="AF6" i="26" l="1"/>
  <c r="AF50" i="26" s="1"/>
  <c r="Z6" i="22"/>
  <c r="E59" i="26"/>
  <c r="AF61" i="26" l="1"/>
  <c r="AA45" i="22"/>
  <c r="AH6" i="26"/>
  <c r="E10" i="30"/>
  <c r="F10" i="30"/>
  <c r="G10" i="30"/>
  <c r="H10" i="30"/>
  <c r="D10" i="30"/>
  <c r="T8" i="31"/>
  <c r="T9" i="31"/>
  <c r="P12" i="31"/>
  <c r="Q12" i="31"/>
  <c r="P11" i="31"/>
  <c r="U60" i="22" s="1"/>
  <c r="U64" i="22" s="1"/>
  <c r="Q11" i="31"/>
  <c r="V60" i="22" s="1"/>
  <c r="V58" i="22" s="1"/>
  <c r="P10" i="31"/>
  <c r="Q10" i="31"/>
  <c r="Z54" i="22"/>
  <c r="Z53" i="22"/>
  <c r="Z51" i="22"/>
  <c r="Z65" i="22" s="1"/>
  <c r="U55" i="22"/>
  <c r="U52" i="22"/>
  <c r="V52" i="22"/>
  <c r="C42" i="4"/>
  <c r="AH50" i="26" l="1"/>
  <c r="AH61" i="26"/>
  <c r="C40" i="5"/>
  <c r="U66" i="22"/>
  <c r="D42" i="1" s="1"/>
  <c r="U58" i="22"/>
  <c r="U61" i="22"/>
  <c r="U67" i="22" l="1"/>
  <c r="AH81" i="26"/>
  <c r="D15" i="5"/>
  <c r="D19" i="5"/>
  <c r="V10" i="31" l="1"/>
  <c r="V12" i="31" l="1"/>
  <c r="V11" i="31"/>
  <c r="W10" i="30"/>
  <c r="X10" i="30"/>
  <c r="W11" i="30"/>
  <c r="X11" i="30"/>
  <c r="W12" i="30"/>
  <c r="X12" i="30"/>
  <c r="U10" i="30"/>
  <c r="U11" i="30"/>
  <c r="U12" i="30"/>
  <c r="S10" i="30"/>
  <c r="S11" i="30"/>
  <c r="S12" i="30"/>
  <c r="Q10" i="30"/>
  <c r="Q11" i="30"/>
  <c r="Q12" i="30"/>
  <c r="O10" i="30"/>
  <c r="O11" i="30"/>
  <c r="U73" i="26" s="1"/>
  <c r="O12" i="30"/>
  <c r="U74" i="26" s="1"/>
  <c r="M10" i="30"/>
  <c r="M11" i="30"/>
  <c r="M12" i="30"/>
  <c r="K10" i="30"/>
  <c r="K11" i="30"/>
  <c r="K12" i="30"/>
  <c r="I73" i="26"/>
  <c r="G11" i="30"/>
  <c r="G73" i="26" s="1"/>
  <c r="G12" i="30"/>
  <c r="G74" i="26" s="1"/>
  <c r="E11" i="30"/>
  <c r="E73" i="26" s="1"/>
  <c r="E12" i="30"/>
  <c r="E74" i="26" s="1"/>
  <c r="U10" i="31"/>
  <c r="U11" i="31"/>
  <c r="U12" i="31"/>
  <c r="S10" i="31"/>
  <c r="AA57" i="22" s="1"/>
  <c r="S11" i="31"/>
  <c r="AE73" i="26" s="1"/>
  <c r="AE77" i="26" s="1"/>
  <c r="S12" i="31"/>
  <c r="AE74" i="26" s="1"/>
  <c r="O10" i="31"/>
  <c r="O11" i="31"/>
  <c r="O12" i="31"/>
  <c r="M10" i="31"/>
  <c r="M11" i="31"/>
  <c r="M12" i="31"/>
  <c r="R60" i="22" s="1"/>
  <c r="R64" i="22" s="1"/>
  <c r="R66" i="22" s="1"/>
  <c r="K10" i="31"/>
  <c r="K11" i="31"/>
  <c r="K12" i="31"/>
  <c r="I10" i="31"/>
  <c r="I11" i="31"/>
  <c r="I12" i="31"/>
  <c r="G10" i="31"/>
  <c r="G11" i="31"/>
  <c r="G12" i="31"/>
  <c r="E10" i="31"/>
  <c r="E11" i="31"/>
  <c r="F59" i="22" s="1"/>
  <c r="E12" i="31"/>
  <c r="F60" i="22" s="1"/>
  <c r="F64" i="22" s="1"/>
  <c r="Y10" i="30" l="1"/>
  <c r="D12" i="2"/>
  <c r="AC74" i="26"/>
  <c r="AC73" i="26"/>
  <c r="Z60" i="22"/>
  <c r="Z59" i="22" l="1"/>
  <c r="K58" i="22"/>
  <c r="L58" i="22"/>
  <c r="K55" i="22"/>
  <c r="L55" i="22"/>
  <c r="K52" i="22"/>
  <c r="L52" i="22"/>
  <c r="Z52" i="22"/>
  <c r="L61" i="22" l="1"/>
  <c r="L67" i="22" s="1"/>
  <c r="K61" i="22"/>
  <c r="K67" i="22" s="1"/>
  <c r="Z58" i="22"/>
  <c r="C21" i="5"/>
  <c r="C17" i="5"/>
  <c r="C17" i="4" l="1"/>
  <c r="C15" i="4" s="1"/>
  <c r="G58" i="22"/>
  <c r="G55" i="22"/>
  <c r="G52" i="22"/>
  <c r="G48" i="22"/>
  <c r="E65" i="22"/>
  <c r="E55" i="22"/>
  <c r="E52" i="22"/>
  <c r="C15" i="7"/>
  <c r="C19" i="7" s="1"/>
  <c r="C81" i="6"/>
  <c r="C76" i="6"/>
  <c r="C67" i="6"/>
  <c r="C53" i="6"/>
  <c r="C41" i="6"/>
  <c r="C35" i="6"/>
  <c r="C23" i="6"/>
  <c r="C19" i="6"/>
  <c r="C15" i="6"/>
  <c r="C8" i="6"/>
  <c r="C8" i="5"/>
  <c r="C15" i="5"/>
  <c r="C24" i="5"/>
  <c r="C23" i="5" s="1"/>
  <c r="C35" i="5"/>
  <c r="C41" i="5"/>
  <c r="C81" i="5"/>
  <c r="C83" i="4"/>
  <c r="C78" i="4"/>
  <c r="C88" i="4" s="1"/>
  <c r="C37" i="4"/>
  <c r="C8" i="4"/>
  <c r="D23" i="5"/>
  <c r="D82" i="1"/>
  <c r="D43" i="1"/>
  <c r="D37" i="1"/>
  <c r="D15" i="1"/>
  <c r="D8" i="1"/>
  <c r="D48" i="1" l="1"/>
  <c r="C47" i="5"/>
  <c r="C34" i="6"/>
  <c r="C47" i="6"/>
  <c r="C86" i="6"/>
  <c r="G61" i="22"/>
  <c r="G67" i="22" s="1"/>
  <c r="C13" i="7"/>
  <c r="C75" i="6"/>
  <c r="C20" i="5"/>
  <c r="C19" i="5" s="1"/>
  <c r="C49" i="4"/>
  <c r="D15" i="7"/>
  <c r="D19" i="7" s="1"/>
  <c r="G20" i="2"/>
  <c r="D81" i="6"/>
  <c r="D76" i="6"/>
  <c r="D67" i="6"/>
  <c r="D53" i="6"/>
  <c r="D41" i="6"/>
  <c r="D35" i="6"/>
  <c r="D23" i="6"/>
  <c r="D19" i="6"/>
  <c r="D15" i="6"/>
  <c r="D8" i="6"/>
  <c r="D81" i="5"/>
  <c r="D76" i="5"/>
  <c r="D41" i="5"/>
  <c r="D35" i="5"/>
  <c r="D8" i="5"/>
  <c r="D83" i="4"/>
  <c r="D88" i="4" s="1"/>
  <c r="D37" i="4"/>
  <c r="D23" i="4"/>
  <c r="E77" i="1"/>
  <c r="E87" i="1" s="1"/>
  <c r="E37" i="1"/>
  <c r="E8" i="1"/>
  <c r="D47" i="6" l="1"/>
  <c r="D86" i="6"/>
  <c r="C87" i="6"/>
  <c r="C48" i="6"/>
  <c r="C10" i="2"/>
  <c r="D34" i="6"/>
  <c r="D86" i="5"/>
  <c r="D75" i="6"/>
  <c r="R58" i="22"/>
  <c r="F58" i="22"/>
  <c r="H58" i="22"/>
  <c r="I58" i="22"/>
  <c r="J58" i="22"/>
  <c r="M58" i="22"/>
  <c r="N58" i="22"/>
  <c r="O58" i="22"/>
  <c r="P58" i="22"/>
  <c r="D63" i="5"/>
  <c r="D58" i="5" s="1"/>
  <c r="AE72" i="26"/>
  <c r="K72" i="26"/>
  <c r="L72" i="26"/>
  <c r="M72" i="26"/>
  <c r="N72" i="26"/>
  <c r="O72" i="26"/>
  <c r="P72" i="26"/>
  <c r="Q72" i="26"/>
  <c r="R72" i="26"/>
  <c r="S72" i="26"/>
  <c r="U72" i="26"/>
  <c r="V72" i="26"/>
  <c r="W72" i="26"/>
  <c r="X72" i="26"/>
  <c r="Y72" i="26"/>
  <c r="Z72" i="26"/>
  <c r="AA72" i="26"/>
  <c r="I72" i="26"/>
  <c r="E72" i="26"/>
  <c r="Q69" i="26"/>
  <c r="O69" i="26"/>
  <c r="K69" i="26"/>
  <c r="L66" i="26"/>
  <c r="M66" i="26"/>
  <c r="N66" i="26"/>
  <c r="O66" i="26"/>
  <c r="P66" i="26"/>
  <c r="Q66" i="26"/>
  <c r="R66" i="26"/>
  <c r="S66" i="26"/>
  <c r="U66" i="26"/>
  <c r="V66" i="26"/>
  <c r="W66" i="26"/>
  <c r="X66" i="26"/>
  <c r="Y66" i="26"/>
  <c r="Z66" i="26"/>
  <c r="AA66" i="26"/>
  <c r="K66" i="26"/>
  <c r="I66" i="26"/>
  <c r="G66" i="26"/>
  <c r="E66" i="26"/>
  <c r="R55" i="22"/>
  <c r="P55" i="22"/>
  <c r="N55" i="22"/>
  <c r="J55" i="22"/>
  <c r="H55" i="22"/>
  <c r="D48" i="6" l="1"/>
  <c r="D92" i="6"/>
  <c r="D87" i="6"/>
  <c r="D91" i="6"/>
  <c r="AC72" i="26"/>
  <c r="AC66" i="26"/>
  <c r="AA80" i="26"/>
  <c r="K80" i="26"/>
  <c r="E58" i="1" s="1"/>
  <c r="W80" i="26"/>
  <c r="Q80" i="26"/>
  <c r="S80" i="26"/>
  <c r="E60" i="1" s="1"/>
  <c r="G72" i="26"/>
  <c r="R52" i="22"/>
  <c r="R61" i="22" s="1"/>
  <c r="R67" i="22" s="1"/>
  <c r="P52" i="22"/>
  <c r="P61" i="22" s="1"/>
  <c r="P67" i="22" s="1"/>
  <c r="N52" i="22"/>
  <c r="J52" i="22"/>
  <c r="H52" i="22"/>
  <c r="H61" i="22" s="1"/>
  <c r="H67" i="22" s="1"/>
  <c r="F52" i="22"/>
  <c r="W7" i="28"/>
  <c r="W8" i="28"/>
  <c r="W9" i="28"/>
  <c r="W10" i="28"/>
  <c r="W15" i="28"/>
  <c r="U17" i="28"/>
  <c r="U18" i="28"/>
  <c r="U19" i="28"/>
  <c r="S17" i="28"/>
  <c r="S18" i="28"/>
  <c r="S19" i="28"/>
  <c r="Q17" i="28"/>
  <c r="Q18" i="28"/>
  <c r="Q19" i="28"/>
  <c r="O17" i="28"/>
  <c r="O18" i="28"/>
  <c r="U70" i="26" s="1"/>
  <c r="O19" i="28"/>
  <c r="U71" i="26" s="1"/>
  <c r="U79" i="26" s="1"/>
  <c r="M17" i="28"/>
  <c r="M18" i="28"/>
  <c r="M70" i="26" s="1"/>
  <c r="M19" i="28"/>
  <c r="K17" i="28"/>
  <c r="K18" i="28"/>
  <c r="K19" i="28"/>
  <c r="I18" i="28"/>
  <c r="I70" i="26" s="1"/>
  <c r="I19" i="28"/>
  <c r="I71" i="26" s="1"/>
  <c r="G18" i="28"/>
  <c r="G70" i="26" s="1"/>
  <c r="G19" i="28"/>
  <c r="E18" i="28"/>
  <c r="E19" i="28"/>
  <c r="V57" i="22"/>
  <c r="V64" i="22" s="1"/>
  <c r="R18" i="24"/>
  <c r="S18" i="24"/>
  <c r="M77" i="26" l="1"/>
  <c r="M69" i="26"/>
  <c r="W17" i="28"/>
  <c r="E73" i="1"/>
  <c r="G11" i="7"/>
  <c r="I79" i="26"/>
  <c r="D56" i="5" s="1"/>
  <c r="I77" i="26"/>
  <c r="D58" i="4" s="1"/>
  <c r="G77" i="26"/>
  <c r="D57" i="4" s="1"/>
  <c r="V55" i="22"/>
  <c r="D40" i="5"/>
  <c r="D47" i="5" s="1"/>
  <c r="D92" i="5" s="1"/>
  <c r="G71" i="26"/>
  <c r="G79" i="26" s="1"/>
  <c r="E71" i="26"/>
  <c r="E79" i="26" s="1"/>
  <c r="E70" i="26"/>
  <c r="E77" i="26" s="1"/>
  <c r="D56" i="4" s="1"/>
  <c r="G9" i="7"/>
  <c r="E71" i="1"/>
  <c r="G10" i="2"/>
  <c r="I69" i="26"/>
  <c r="U69" i="26"/>
  <c r="D68" i="5"/>
  <c r="D67" i="5" s="1"/>
  <c r="W18" i="28"/>
  <c r="W19" i="28"/>
  <c r="E17" i="28"/>
  <c r="Q18" i="24"/>
  <c r="AA55" i="22" s="1"/>
  <c r="AE79" i="26"/>
  <c r="O18" i="24"/>
  <c r="M18" i="24"/>
  <c r="K18" i="24"/>
  <c r="I18" i="24"/>
  <c r="G18" i="24"/>
  <c r="D55" i="5" l="1"/>
  <c r="D54" i="5"/>
  <c r="G69" i="26"/>
  <c r="AC70" i="26"/>
  <c r="AC77" i="26" s="1"/>
  <c r="E69" i="26"/>
  <c r="AC71" i="26"/>
  <c r="AC79" i="26" s="1"/>
  <c r="Y6" i="27"/>
  <c r="Y10" i="27" s="1"/>
  <c r="W6" i="27"/>
  <c r="W12" i="27" s="1"/>
  <c r="W7" i="27"/>
  <c r="O63" i="26"/>
  <c r="AC80" i="26" l="1"/>
  <c r="Y12" i="27"/>
  <c r="W10" i="27"/>
  <c r="W11" i="27"/>
  <c r="AE78" i="26"/>
  <c r="AE80" i="26" s="1"/>
  <c r="AE63" i="26"/>
  <c r="U77" i="26"/>
  <c r="U63" i="26"/>
  <c r="U75" i="26" s="1"/>
  <c r="O77" i="26"/>
  <c r="D60" i="4" s="1"/>
  <c r="O75" i="26"/>
  <c r="AC69" i="26"/>
  <c r="AE69" i="26"/>
  <c r="Z56" i="22"/>
  <c r="Z57" i="22"/>
  <c r="I75" i="26"/>
  <c r="I80" i="26"/>
  <c r="E57" i="1" s="1"/>
  <c r="W6" i="23"/>
  <c r="W9" i="23" s="1"/>
  <c r="U6" i="23"/>
  <c r="V6" i="23"/>
  <c r="V49" i="22"/>
  <c r="V63" i="22" s="1"/>
  <c r="F49" i="22"/>
  <c r="Y6" i="29"/>
  <c r="W6" i="29"/>
  <c r="W9" i="29" s="1"/>
  <c r="X6" i="29"/>
  <c r="X9" i="29" s="1"/>
  <c r="S9" i="25"/>
  <c r="S8" i="25"/>
  <c r="D34" i="4"/>
  <c r="E34" i="1"/>
  <c r="E19" i="1"/>
  <c r="D21" i="4"/>
  <c r="D19" i="4" s="1"/>
  <c r="S75" i="26"/>
  <c r="S81" i="26" s="1"/>
  <c r="Q75" i="26"/>
  <c r="Q81" i="26" s="1"/>
  <c r="K75" i="26"/>
  <c r="K81" i="26" s="1"/>
  <c r="AA75" i="26"/>
  <c r="AA81" i="26" s="1"/>
  <c r="W75" i="26"/>
  <c r="W81" i="26" s="1"/>
  <c r="M80" i="26"/>
  <c r="D70" i="4" l="1"/>
  <c r="D69" i="4" s="1"/>
  <c r="U80" i="26"/>
  <c r="E69" i="1" s="1"/>
  <c r="E68" i="1" s="1"/>
  <c r="V66" i="22"/>
  <c r="U9" i="23"/>
  <c r="U11" i="23"/>
  <c r="V11" i="23"/>
  <c r="W11" i="23"/>
  <c r="D64" i="4"/>
  <c r="D61" i="4" s="1"/>
  <c r="D55" i="4"/>
  <c r="AC63" i="26"/>
  <c r="I81" i="26"/>
  <c r="O80" i="26"/>
  <c r="G11" i="2" s="1"/>
  <c r="F48" i="22"/>
  <c r="F63" i="22"/>
  <c r="F66" i="22" s="1"/>
  <c r="V48" i="22"/>
  <c r="Z49" i="22"/>
  <c r="Z50" i="22"/>
  <c r="Z64" i="22" s="1"/>
  <c r="Z55" i="22"/>
  <c r="G9" i="2"/>
  <c r="Y9" i="29"/>
  <c r="Y8" i="29"/>
  <c r="W8" i="29"/>
  <c r="X8" i="29"/>
  <c r="D30" i="5"/>
  <c r="D34" i="5" s="1"/>
  <c r="M75" i="26"/>
  <c r="M81" i="26" s="1"/>
  <c r="D77" i="4" l="1"/>
  <c r="D89" i="4" s="1"/>
  <c r="E59" i="1"/>
  <c r="D11" i="2"/>
  <c r="U81" i="26"/>
  <c r="O81" i="26"/>
  <c r="D32" i="4"/>
  <c r="D36" i="4" s="1"/>
  <c r="V61" i="22"/>
  <c r="E42" i="1" s="1"/>
  <c r="E48" i="1" s="1"/>
  <c r="G7" i="7"/>
  <c r="G14" i="7" s="1"/>
  <c r="G20" i="7" s="1"/>
  <c r="D7" i="7"/>
  <c r="D14" i="7" s="1"/>
  <c r="D20" i="7" s="1"/>
  <c r="Z48" i="22"/>
  <c r="D48" i="5"/>
  <c r="D42" i="4"/>
  <c r="D49" i="4" s="1"/>
  <c r="D94" i="4" s="1"/>
  <c r="AC75" i="26"/>
  <c r="E80" i="26"/>
  <c r="E55" i="1" s="1"/>
  <c r="E75" i="26"/>
  <c r="G80" i="26"/>
  <c r="E56" i="1" s="1"/>
  <c r="G75" i="26"/>
  <c r="G22" i="7" l="1"/>
  <c r="D93" i="4"/>
  <c r="V67" i="22"/>
  <c r="E93" i="1"/>
  <c r="G81" i="26"/>
  <c r="E81" i="26"/>
  <c r="D21" i="7"/>
  <c r="D50" i="4"/>
  <c r="E32" i="1"/>
  <c r="D22" i="7"/>
  <c r="G8" i="2"/>
  <c r="G7" i="2"/>
  <c r="Y75" i="26" l="1"/>
  <c r="Y80" i="26" l="1"/>
  <c r="E65" i="1" s="1"/>
  <c r="E54" i="1" s="1"/>
  <c r="E76" i="1" s="1"/>
  <c r="D64" i="5"/>
  <c r="D53" i="5" s="1"/>
  <c r="D75" i="5" s="1"/>
  <c r="AE66" i="26"/>
  <c r="AE75" i="26" s="1"/>
  <c r="E88" i="1" l="1"/>
  <c r="Y81" i="26"/>
  <c r="AG75" i="26"/>
  <c r="AG81" i="26" s="1"/>
  <c r="AE81" i="26"/>
  <c r="G14" i="2"/>
  <c r="D87" i="5"/>
  <c r="E87" i="5" s="1"/>
  <c r="D91" i="5"/>
  <c r="T66" i="26"/>
  <c r="G21" i="2" l="1"/>
  <c r="AC81" i="26"/>
  <c r="J72" i="26"/>
  <c r="R12" i="31"/>
  <c r="AD74" i="26" s="1"/>
  <c r="N12" i="31"/>
  <c r="L12" i="31"/>
  <c r="Q60" i="22" s="1"/>
  <c r="Q64" i="22" s="1"/>
  <c r="Q66" i="22" s="1"/>
  <c r="J12" i="31"/>
  <c r="H12" i="31"/>
  <c r="F12" i="31"/>
  <c r="D12" i="31"/>
  <c r="E60" i="22" s="1"/>
  <c r="R11" i="31"/>
  <c r="AD73" i="26" s="1"/>
  <c r="AD77" i="26" s="1"/>
  <c r="N11" i="31"/>
  <c r="L11" i="31"/>
  <c r="J11" i="31"/>
  <c r="H11" i="31"/>
  <c r="F11" i="31"/>
  <c r="D11" i="31"/>
  <c r="E59" i="22" s="1"/>
  <c r="R10" i="31"/>
  <c r="AA49" i="22" s="1"/>
  <c r="N10" i="31"/>
  <c r="L10" i="31"/>
  <c r="J10" i="31"/>
  <c r="H10" i="31"/>
  <c r="F10" i="31"/>
  <c r="D10" i="31"/>
  <c r="T11" i="31"/>
  <c r="T12" i="30"/>
  <c r="R12" i="30"/>
  <c r="P12" i="30"/>
  <c r="N12" i="30"/>
  <c r="T74" i="26" s="1"/>
  <c r="L12" i="30"/>
  <c r="J12" i="30"/>
  <c r="H12" i="30"/>
  <c r="H74" i="26" s="1"/>
  <c r="F12" i="30"/>
  <c r="F74" i="26" s="1"/>
  <c r="F72" i="26" s="1"/>
  <c r="D12" i="30"/>
  <c r="D74" i="26" s="1"/>
  <c r="T11" i="30"/>
  <c r="R11" i="30"/>
  <c r="P11" i="30"/>
  <c r="N11" i="30"/>
  <c r="T73" i="26" s="1"/>
  <c r="L11" i="30"/>
  <c r="J11" i="30"/>
  <c r="H11" i="30"/>
  <c r="H73" i="26" s="1"/>
  <c r="T10" i="30"/>
  <c r="R10" i="30"/>
  <c r="P10" i="30"/>
  <c r="N10" i="30"/>
  <c r="L10" i="30"/>
  <c r="J10" i="30"/>
  <c r="V6" i="30"/>
  <c r="V10" i="30" s="1"/>
  <c r="Q58" i="22" l="1"/>
  <c r="AD72" i="26"/>
  <c r="E64" i="22"/>
  <c r="Y60" i="22"/>
  <c r="Y64" i="22" s="1"/>
  <c r="E58" i="22"/>
  <c r="Y59" i="22"/>
  <c r="AB73" i="26"/>
  <c r="V11" i="30"/>
  <c r="D72" i="26"/>
  <c r="AB74" i="26"/>
  <c r="T72" i="26"/>
  <c r="H72" i="26"/>
  <c r="T12" i="31"/>
  <c r="V12" i="30"/>
  <c r="T10" i="31"/>
  <c r="C30" i="5" l="1"/>
  <c r="C34" i="5" s="1"/>
  <c r="C48" i="5" s="1"/>
  <c r="Y58" i="22"/>
  <c r="AB72" i="26"/>
  <c r="R75" i="26"/>
  <c r="R80" i="26" l="1"/>
  <c r="D60" i="1" l="1"/>
  <c r="R81" i="26"/>
  <c r="V6" i="29" l="1"/>
  <c r="T19" i="28"/>
  <c r="R19" i="28"/>
  <c r="P19" i="28"/>
  <c r="N19" i="28"/>
  <c r="T71" i="26" s="1"/>
  <c r="L19" i="28"/>
  <c r="J19" i="28"/>
  <c r="F19" i="28"/>
  <c r="F71" i="26" s="1"/>
  <c r="F79" i="26" s="1"/>
  <c r="D19" i="28"/>
  <c r="D71" i="26" s="1"/>
  <c r="D79" i="26" s="1"/>
  <c r="T18" i="28"/>
  <c r="R18" i="28"/>
  <c r="P18" i="28"/>
  <c r="N18" i="28"/>
  <c r="T70" i="26" s="1"/>
  <c r="L18" i="28"/>
  <c r="L70" i="26" s="1"/>
  <c r="L77" i="26" s="1"/>
  <c r="J18" i="28"/>
  <c r="H18" i="28"/>
  <c r="H70" i="26" s="1"/>
  <c r="H77" i="26" s="1"/>
  <c r="C58" i="4" s="1"/>
  <c r="F18" i="28"/>
  <c r="F70" i="26" s="1"/>
  <c r="F77" i="26" s="1"/>
  <c r="D70" i="26"/>
  <c r="D77" i="26" s="1"/>
  <c r="T17" i="28"/>
  <c r="R17" i="28"/>
  <c r="P17" i="28"/>
  <c r="N17" i="28"/>
  <c r="L17" i="28"/>
  <c r="J17" i="28"/>
  <c r="F17" i="28"/>
  <c r="V16" i="28"/>
  <c r="X16" i="28" s="1"/>
  <c r="V15" i="28"/>
  <c r="X15" i="28" s="1"/>
  <c r="V12" i="28"/>
  <c r="X12" i="28" s="1"/>
  <c r="V10" i="28"/>
  <c r="X10" i="28" s="1"/>
  <c r="V9" i="28"/>
  <c r="X9" i="28" s="1"/>
  <c r="V8" i="28"/>
  <c r="V7" i="28"/>
  <c r="X7" i="28" s="1"/>
  <c r="T63" i="26"/>
  <c r="X7" i="27"/>
  <c r="X11" i="27" s="1"/>
  <c r="Z69" i="26"/>
  <c r="X69" i="26"/>
  <c r="V69" i="26"/>
  <c r="P69" i="26"/>
  <c r="N69" i="26"/>
  <c r="J69" i="26"/>
  <c r="AD66" i="26"/>
  <c r="J66" i="26"/>
  <c r="H66" i="26"/>
  <c r="F66" i="26"/>
  <c r="D66" i="26"/>
  <c r="H63" i="26"/>
  <c r="C77" i="5"/>
  <c r="C76" i="5" s="1"/>
  <c r="C86" i="5" s="1"/>
  <c r="C72" i="4"/>
  <c r="C59" i="4"/>
  <c r="R6" i="25"/>
  <c r="R9" i="25" s="1"/>
  <c r="N18" i="24"/>
  <c r="L18" i="24"/>
  <c r="J18" i="24"/>
  <c r="H18" i="24"/>
  <c r="F18" i="24"/>
  <c r="T15" i="24"/>
  <c r="T8" i="24"/>
  <c r="E49" i="22"/>
  <c r="E63" i="22" s="1"/>
  <c r="E66" i="22" s="1"/>
  <c r="V7" i="23"/>
  <c r="L69" i="26" l="1"/>
  <c r="T69" i="26"/>
  <c r="T75" i="26" s="1"/>
  <c r="V10" i="23"/>
  <c r="V9" i="23"/>
  <c r="T9" i="24"/>
  <c r="X8" i="28"/>
  <c r="T13" i="24"/>
  <c r="V17" i="28"/>
  <c r="N77" i="26"/>
  <c r="C64" i="4" s="1"/>
  <c r="C61" i="4" s="1"/>
  <c r="N63" i="26"/>
  <c r="N75" i="26" s="1"/>
  <c r="T77" i="26"/>
  <c r="T79" i="26"/>
  <c r="C68" i="5" s="1"/>
  <c r="C67" i="5" s="1"/>
  <c r="AD69" i="26"/>
  <c r="Y49" i="22"/>
  <c r="C57" i="4"/>
  <c r="C56" i="4"/>
  <c r="D69" i="26"/>
  <c r="D75" i="26" s="1"/>
  <c r="C54" i="5"/>
  <c r="F69" i="26"/>
  <c r="F75" i="26" s="1"/>
  <c r="T17" i="24"/>
  <c r="T11" i="24"/>
  <c r="T16" i="24"/>
  <c r="T12" i="24"/>
  <c r="T10" i="24"/>
  <c r="C55" i="5"/>
  <c r="T7" i="24"/>
  <c r="P18" i="24"/>
  <c r="AA47" i="22" s="1"/>
  <c r="AA50" i="22" s="1"/>
  <c r="AB70" i="26"/>
  <c r="AB77" i="26" s="1"/>
  <c r="AB63" i="26"/>
  <c r="E48" i="22"/>
  <c r="E61" i="22" s="1"/>
  <c r="C63" i="5"/>
  <c r="C58" i="5" s="1"/>
  <c r="X75" i="26"/>
  <c r="AB66" i="26"/>
  <c r="V9" i="29"/>
  <c r="V8" i="29"/>
  <c r="R8" i="25"/>
  <c r="P75" i="26"/>
  <c r="V75" i="26"/>
  <c r="Z75" i="26"/>
  <c r="J75" i="26"/>
  <c r="V18" i="28"/>
  <c r="J80" i="26"/>
  <c r="Z80" i="26"/>
  <c r="L80" i="26"/>
  <c r="P80" i="26"/>
  <c r="V19" i="28"/>
  <c r="H17" i="28"/>
  <c r="H19" i="28"/>
  <c r="H71" i="26" s="1"/>
  <c r="H79" i="26" s="1"/>
  <c r="V80" i="26"/>
  <c r="X80" i="26"/>
  <c r="L75" i="26"/>
  <c r="E67" i="22" l="1"/>
  <c r="D32" i="1"/>
  <c r="D73" i="1"/>
  <c r="F11" i="7"/>
  <c r="T18" i="24"/>
  <c r="N80" i="26"/>
  <c r="D59" i="1" s="1"/>
  <c r="C60" i="4"/>
  <c r="C55" i="4" s="1"/>
  <c r="Y63" i="22"/>
  <c r="Y66" i="22" s="1"/>
  <c r="D65" i="1"/>
  <c r="F12" i="2"/>
  <c r="Z81" i="26"/>
  <c r="X81" i="26"/>
  <c r="L81" i="26"/>
  <c r="V81" i="26"/>
  <c r="P81" i="26"/>
  <c r="J81" i="26"/>
  <c r="AD79" i="26"/>
  <c r="T19" i="24"/>
  <c r="T80" i="26"/>
  <c r="H69" i="26"/>
  <c r="T20" i="24"/>
  <c r="Y48" i="22"/>
  <c r="Y61" i="22" s="1"/>
  <c r="D80" i="26"/>
  <c r="D55" i="1" s="1"/>
  <c r="F80" i="26"/>
  <c r="F8" i="2" s="1"/>
  <c r="C70" i="4"/>
  <c r="C69" i="4" s="1"/>
  <c r="F20" i="2"/>
  <c r="D77" i="1"/>
  <c r="D87" i="1" s="1"/>
  <c r="F9" i="7"/>
  <c r="D71" i="1"/>
  <c r="F10" i="2"/>
  <c r="D58" i="1"/>
  <c r="AB71" i="26"/>
  <c r="AB79" i="26" s="1"/>
  <c r="C32" i="4"/>
  <c r="C11" i="2"/>
  <c r="X6" i="27"/>
  <c r="Y67" i="22" l="1"/>
  <c r="F11" i="2"/>
  <c r="X12" i="27"/>
  <c r="X10" i="27"/>
  <c r="N81" i="26"/>
  <c r="AD78" i="26"/>
  <c r="AD80" i="26" s="1"/>
  <c r="AD63" i="26"/>
  <c r="AD75" i="26" s="1"/>
  <c r="AB69" i="26"/>
  <c r="AB75" i="26" s="1"/>
  <c r="H75" i="26"/>
  <c r="D69" i="1"/>
  <c r="D68" i="1" s="1"/>
  <c r="F7" i="7"/>
  <c r="F14" i="7" s="1"/>
  <c r="F20" i="7" s="1"/>
  <c r="T81" i="26"/>
  <c r="F81" i="26"/>
  <c r="D81" i="26"/>
  <c r="AB80" i="26"/>
  <c r="AB82" i="26" s="1"/>
  <c r="C77" i="4"/>
  <c r="C89" i="4" s="1"/>
  <c r="E89" i="4" s="1"/>
  <c r="C56" i="5"/>
  <c r="C53" i="5" s="1"/>
  <c r="C75" i="5" s="1"/>
  <c r="C87" i="5" s="1"/>
  <c r="H80" i="26"/>
  <c r="F7" i="2"/>
  <c r="D56" i="1"/>
  <c r="Q55" i="22"/>
  <c r="O55" i="22"/>
  <c r="M55" i="22"/>
  <c r="I55" i="22"/>
  <c r="Q52" i="22"/>
  <c r="O52" i="22"/>
  <c r="M52" i="22"/>
  <c r="I52" i="22"/>
  <c r="H81" i="26" l="1"/>
  <c r="AB81" i="26"/>
  <c r="D57" i="1"/>
  <c r="O61" i="22"/>
  <c r="O67" i="22" s="1"/>
  <c r="I61" i="22"/>
  <c r="I67" i="22" s="1"/>
  <c r="M61" i="22"/>
  <c r="M67" i="22" s="1"/>
  <c r="AF75" i="26"/>
  <c r="AD81" i="26"/>
  <c r="Q61" i="22"/>
  <c r="Q67" i="22" s="1"/>
  <c r="F9" i="2"/>
  <c r="F14" i="2" s="1"/>
  <c r="F21" i="2" l="1"/>
  <c r="D54" i="1"/>
  <c r="D76" i="1" s="1"/>
  <c r="AF81" i="26"/>
  <c r="C34" i="4"/>
  <c r="C21" i="4"/>
  <c r="C19" i="4" s="1"/>
  <c r="C7" i="2"/>
  <c r="C8" i="2"/>
  <c r="C92" i="5"/>
  <c r="C91" i="6"/>
  <c r="D88" i="1" l="1"/>
  <c r="C36" i="4"/>
  <c r="C50" i="4" s="1"/>
  <c r="C12" i="2"/>
  <c r="C14" i="2" s="1"/>
  <c r="C22" i="2" s="1"/>
  <c r="D34" i="1"/>
  <c r="D36" i="1" s="1"/>
  <c r="D49" i="1" s="1"/>
  <c r="C7" i="7"/>
  <c r="C14" i="7" s="1"/>
  <c r="C92" i="6"/>
  <c r="C91" i="5"/>
  <c r="D93" i="1"/>
  <c r="C94" i="4"/>
  <c r="D92" i="1" l="1"/>
  <c r="C21" i="2"/>
  <c r="C23" i="2" s="1"/>
  <c r="C93" i="4"/>
  <c r="C20" i="7"/>
  <c r="C22" i="7" s="1"/>
  <c r="C21" i="7"/>
  <c r="Z38" i="22"/>
  <c r="J63" i="22"/>
  <c r="J66" i="22" s="1"/>
  <c r="Z45" i="22" l="1"/>
  <c r="Z44" i="22"/>
  <c r="Z63" i="22"/>
  <c r="Z66" i="22" s="1"/>
  <c r="AA66" i="22" s="1"/>
  <c r="AA52" i="22"/>
  <c r="AA58" i="22" s="1"/>
  <c r="J61" i="22"/>
  <c r="J67" i="22" s="1"/>
  <c r="Y46" i="22"/>
  <c r="Z46" i="22"/>
  <c r="D7" i="2"/>
  <c r="D14" i="2" l="1"/>
  <c r="D22" i="2" s="1"/>
  <c r="Z61" i="22"/>
  <c r="Z67" i="22" s="1"/>
  <c r="D21" i="2"/>
  <c r="D23" i="2" s="1"/>
  <c r="N61" i="22"/>
  <c r="N67" i="22" s="1"/>
  <c r="E17" i="1" l="1"/>
  <c r="E15" i="1" s="1"/>
  <c r="E36" i="1" s="1"/>
  <c r="E49" i="1" s="1"/>
  <c r="F61" i="22"/>
  <c r="F67" i="22" s="1"/>
  <c r="E92" i="1" l="1"/>
</calcChain>
</file>

<file path=xl/sharedStrings.xml><?xml version="1.0" encoding="utf-8"?>
<sst xmlns="http://schemas.openxmlformats.org/spreadsheetml/2006/main" count="2189" uniqueCount="626">
  <si>
    <t>Medgyesegyháza Városi Önkormányzat</t>
  </si>
  <si>
    <t>BEVÉTELEK</t>
  </si>
  <si>
    <t>Bevételi jogcímek</t>
  </si>
  <si>
    <t>1.</t>
  </si>
  <si>
    <t>Sor-
szám</t>
  </si>
  <si>
    <t>2.</t>
  </si>
  <si>
    <t>1.1.</t>
  </si>
  <si>
    <t>1.2.</t>
  </si>
  <si>
    <t>1.3.</t>
  </si>
  <si>
    <t>1.4.</t>
  </si>
  <si>
    <t>1.5.</t>
  </si>
  <si>
    <t>1.6.</t>
  </si>
  <si>
    <t>2.1.</t>
  </si>
  <si>
    <t>2.2.</t>
  </si>
  <si>
    <t>2.3.</t>
  </si>
  <si>
    <t>3.</t>
  </si>
  <si>
    <t>Önkormányzatok működési támogatásai (1.1+……+1.6.)</t>
  </si>
  <si>
    <t>3.1.</t>
  </si>
  <si>
    <t>3.2.</t>
  </si>
  <si>
    <t>3.3.</t>
  </si>
  <si>
    <t>4.</t>
  </si>
  <si>
    <t>Közhatalmi bevételek (4.1+4.2.+4.3.+4.4.)</t>
  </si>
  <si>
    <t>4.1.</t>
  </si>
  <si>
    <t>4.1.1.</t>
  </si>
  <si>
    <t>4.1.2.</t>
  </si>
  <si>
    <t>4.1.3.</t>
  </si>
  <si>
    <t>4.2.</t>
  </si>
  <si>
    <t>4.3.</t>
  </si>
  <si>
    <t>4.4.</t>
  </si>
  <si>
    <t>5.</t>
  </si>
  <si>
    <t>Helyi önkormányzatok működésének általános támogatása</t>
  </si>
  <si>
    <t>Önkormányzatok egyes köznevelési feladatainak támogatása</t>
  </si>
  <si>
    <t>Önkormányzatok szociális és gyermjóléti feladatainak támogatása</t>
  </si>
  <si>
    <t>Önkormányzatok kulturális feladatainak támogatása</t>
  </si>
  <si>
    <t>Működési célú költségvetési támogatások és kiegészítő támogatások</t>
  </si>
  <si>
    <t>Elszámolásból származő bevételek</t>
  </si>
  <si>
    <t>Elvonások és befizetések bevételei</t>
  </si>
  <si>
    <t>Egyéb működési célú támogatások bevételei</t>
  </si>
  <si>
    <t>2.2.-ből EU-s támogatás</t>
  </si>
  <si>
    <t>Működési célú támogatások ÁHT-n belülről (2.1+2.2.)</t>
  </si>
  <si>
    <t>Felhalmozási célú önkormányzati támogatások</t>
  </si>
  <si>
    <t>Egyéb felhalmozási célú támogatások</t>
  </si>
  <si>
    <t>3.2.-ből EU-s támogatás</t>
  </si>
  <si>
    <t>Felhalmozási célú támogatások ÁHT-n belülről (3.1.+3.2.)</t>
  </si>
  <si>
    <t>Helyi adók (4.1.1.+….+4.1.3)</t>
  </si>
  <si>
    <t>Vagyoni típusú adók</t>
  </si>
  <si>
    <t>Értékesítési és forgalmi adók (iparűzési adó)</t>
  </si>
  <si>
    <t>Gépjárműadó</t>
  </si>
  <si>
    <t>Egyéb áruhasználati és szolgáltatási adók</t>
  </si>
  <si>
    <t>Egyéb közhatalmi bevételek</t>
  </si>
  <si>
    <t xml:space="preserve">Működési bevételek </t>
  </si>
  <si>
    <t>6.</t>
  </si>
  <si>
    <t>Felhalmozási bevételek</t>
  </si>
  <si>
    <t>7.</t>
  </si>
  <si>
    <t>Működési célő átvett pénzeszközök</t>
  </si>
  <si>
    <t>8.</t>
  </si>
  <si>
    <t>Felhalmozási célú átvett pénzeszközök</t>
  </si>
  <si>
    <t>9.</t>
  </si>
  <si>
    <t>10.</t>
  </si>
  <si>
    <t>Hitel-, kölcsönfelévtel államháztartáson kívülről (10.1+…+10.3</t>
  </si>
  <si>
    <t>10.1.</t>
  </si>
  <si>
    <t>Hosszú lejűratú hitelek, kölcsönök felvétele</t>
  </si>
  <si>
    <t>10.2.</t>
  </si>
  <si>
    <t>Likviditási célú hitelek, kölcsönök felvétele pénzügyi vállalkozástól</t>
  </si>
  <si>
    <t>10.3.</t>
  </si>
  <si>
    <t>Rövid lejáratú hitelek, kölcsönök felvétele</t>
  </si>
  <si>
    <t>11.</t>
  </si>
  <si>
    <t>Belföldi értékpapírok bevételei</t>
  </si>
  <si>
    <t>12.</t>
  </si>
  <si>
    <t>Előző évi költségvetési maradvány igánybe vétele</t>
  </si>
  <si>
    <t>13.</t>
  </si>
  <si>
    <t>Belföldi finanszírozás bevételei (13.1.+13.2.)</t>
  </si>
  <si>
    <t>13.1.</t>
  </si>
  <si>
    <t>Államháztartáson belüli megelőlegezések</t>
  </si>
  <si>
    <t>13.2.</t>
  </si>
  <si>
    <t>Államháztartáson belüli megelőlegezések törlesztése</t>
  </si>
  <si>
    <t>14.</t>
  </si>
  <si>
    <t>Külföldi finanszírozás bevételei</t>
  </si>
  <si>
    <t>15.</t>
  </si>
  <si>
    <t>Váltóbevételek</t>
  </si>
  <si>
    <t xml:space="preserve">16. </t>
  </si>
  <si>
    <t>Adóssághoz nem kapcsolódó származékos ügyletek bevételei</t>
  </si>
  <si>
    <t>17.</t>
  </si>
  <si>
    <t>FINANSZÍROZÁSI BEVÉTELEK ÖSSZESEN:(10.+…+16.)</t>
  </si>
  <si>
    <t>18.</t>
  </si>
  <si>
    <t>KÖLTSÉGVETÉSI ÉS FINANSZÍROZÁSI BEVÉTELEK
ÖSSZESEN: (9.+17.)</t>
  </si>
  <si>
    <t>KIADÁSOK</t>
  </si>
  <si>
    <t>2. számú táblázat</t>
  </si>
  <si>
    <t>Kiadási jogcímek</t>
  </si>
  <si>
    <t>Személyi juttatások</t>
  </si>
  <si>
    <t>Munkaadókat terhelő járulékok és szochó</t>
  </si>
  <si>
    <t>Dologi kiadások</t>
  </si>
  <si>
    <t>Ellátottak pénzbeli juttatásai</t>
  </si>
  <si>
    <t>Egyéb működési célú kiadások</t>
  </si>
  <si>
    <t>1.5.-ből Előző évi elszámolásből származó befizetések</t>
  </si>
  <si>
    <t>1.7.</t>
  </si>
  <si>
    <t>1.8.</t>
  </si>
  <si>
    <t>1.9.</t>
  </si>
  <si>
    <t>1.10.</t>
  </si>
  <si>
    <t>1.11.</t>
  </si>
  <si>
    <t>Tartalékok</t>
  </si>
  <si>
    <t xml:space="preserve">             Törvényi előírásokon alapuló befizetések</t>
  </si>
  <si>
    <t>1.12.</t>
  </si>
  <si>
    <t>1.11.-ből: Általános tartalék</t>
  </si>
  <si>
    <t>1.13.</t>
  </si>
  <si>
    <t xml:space="preserve">                 Céltartalék</t>
  </si>
  <si>
    <t>Működési költségvetés kiadásai (1.1.+…+1.5.+1.11.)</t>
  </si>
  <si>
    <t>Beruházások</t>
  </si>
  <si>
    <t>2.2</t>
  </si>
  <si>
    <t>2.1.-ből EU-s forrásból megvalósuló beruházás</t>
  </si>
  <si>
    <t>Felújítások</t>
  </si>
  <si>
    <t>2.4.</t>
  </si>
  <si>
    <t>2.3.-ból EU-s forrásból megvalósuló felújítás</t>
  </si>
  <si>
    <t>2.5.</t>
  </si>
  <si>
    <t>Egyéb felhalmozási kiadások</t>
  </si>
  <si>
    <t>2.6.</t>
  </si>
  <si>
    <t>2.5.-ből Egyéb felhalmozási kiadás ÁHT-n belülre</t>
  </si>
  <si>
    <t>2.7.</t>
  </si>
  <si>
    <t xml:space="preserve">              Egyéb felhalmozási kiadás ÁHT-n kívülre</t>
  </si>
  <si>
    <t>Felhalmozási költségvetési kiadások (2.1.+2.3.+2.5.)</t>
  </si>
  <si>
    <t>KÖLTSÉGVETÉSI KIADÁSOK ÖSSZESEN: (1.+2.)</t>
  </si>
  <si>
    <t>Hosszú lejáratú hitelek, kölcsönök törlesztése pü vállalkozásoknak</t>
  </si>
  <si>
    <t>Likviditási célú hitelek, kölcsönök törlesztése pü vállalkozásoknak</t>
  </si>
  <si>
    <t>Rövid lejáratú hitelek, kölcsönök törlesztése pü vállalkozásoknak</t>
  </si>
  <si>
    <t>Hitel-, kölcsöntörlesztés államháztartáson kívülre (4.1.+…+4.3.)</t>
  </si>
  <si>
    <t>Belföldi értékpapírok vásárlásai</t>
  </si>
  <si>
    <t>6.1.</t>
  </si>
  <si>
    <t>Államháztartáson belüli megelőlegezések visszafizetése</t>
  </si>
  <si>
    <t>Belföldi finanszírozás kiadásai (=6.1.)</t>
  </si>
  <si>
    <t>Külföldi finanszírozás kiadásai</t>
  </si>
  <si>
    <t>Adóssághoz nem kapcsolódó származékos  ügyletek</t>
  </si>
  <si>
    <t xml:space="preserve">9. </t>
  </si>
  <si>
    <t>Váltókiadások</t>
  </si>
  <si>
    <t>FINANSZÍROZÁSI KIADÁSOK ÖSSZESEN: (4.+…+9.)</t>
  </si>
  <si>
    <t>KIADÁSOK ÖSSZESEN: (3+10)</t>
  </si>
  <si>
    <t>KÖLTSÉGVETÉSI BEVÉTELEK ÖSSZESEN: (1+…+8)</t>
  </si>
  <si>
    <t xml:space="preserve">             Elvonások befizetések</t>
  </si>
  <si>
    <t xml:space="preserve">             Egyéb működési célú támogatások ÁHT-n belülre</t>
  </si>
  <si>
    <t xml:space="preserve">             Egyéb működési célú támogatások ÁHT-n kívülre</t>
  </si>
  <si>
    <t>KÖLTSÉGVETÉSI, FINANSZÍROZOZÁSI BEVÉTELEK ÉS KIADÁSOK EGYENLEGE</t>
  </si>
  <si>
    <t>3. számú táblázat</t>
  </si>
  <si>
    <t>Költségvetési hiány, többlet (költségvetési bevételek 9. sor -
 költségvetési kiadások 3. sor) (+/-)</t>
  </si>
  <si>
    <t>Finanszírozási bevételek kiadások egyenlege (finanszírozási bevételek 17. sor - finanszírozási kiadások 10. sor) (+/-)</t>
  </si>
  <si>
    <t>I. Működési bevételek és kiadások mérlege</t>
  </si>
  <si>
    <t>(önkormányzati szinten)</t>
  </si>
  <si>
    <t>Bevétel</t>
  </si>
  <si>
    <t>Kiadás</t>
  </si>
  <si>
    <t>A</t>
  </si>
  <si>
    <t>C</t>
  </si>
  <si>
    <t>D</t>
  </si>
  <si>
    <t>E</t>
  </si>
  <si>
    <t>Önkormányzatok működési támogatásai</t>
  </si>
  <si>
    <t>Működési célú támogatások ÁHT-n belülről</t>
  </si>
  <si>
    <t>Munkaadókat terhelő járulékok és SZOCHÓ</t>
  </si>
  <si>
    <t>16.</t>
  </si>
  <si>
    <t>2.-ből EU-s támogatás</t>
  </si>
  <si>
    <t>Dologi Kiadások</t>
  </si>
  <si>
    <t>Közhatalmi bevételek</t>
  </si>
  <si>
    <t>Működési bevételek</t>
  </si>
  <si>
    <t>Működési célú átvett pénzeszközök</t>
  </si>
  <si>
    <t>6.-ból EU-s támogatás (közvetlen)</t>
  </si>
  <si>
    <t>Költségvetési bevételek összesen: (1.+…+6.)</t>
  </si>
  <si>
    <t>Költségvetési kiadások összesen: (1.+…+6)</t>
  </si>
  <si>
    <t>Költségvetési maradvány igénybe vétele</t>
  </si>
  <si>
    <t>Likviditási célú hitelek, kölcsönök felvétele</t>
  </si>
  <si>
    <t>Hiány belső finanszírozásának bevételei (=10)</t>
  </si>
  <si>
    <t>Hiány külső finanszírozásának bevételei (=12)</t>
  </si>
  <si>
    <t>Működési célú finanszírozási bevételek összesen: (9.+11.)</t>
  </si>
  <si>
    <t>BEVÉTELEK ÖSSZESEN: (8.+13.)</t>
  </si>
  <si>
    <t>Likviditási célú hitelek törlesztése</t>
  </si>
  <si>
    <t>B</t>
  </si>
  <si>
    <t>KIADÁSOK ÖSSZESEN: (8.+13.)</t>
  </si>
  <si>
    <t>Költségvetési többlet:</t>
  </si>
  <si>
    <t>Költségvetési hiány:</t>
  </si>
  <si>
    <t>Tárgyévi hiány:</t>
  </si>
  <si>
    <t>Tárgyévi többlet:</t>
  </si>
  <si>
    <t>I .Felhalmozási célú bevételek és kiadások mérlege</t>
  </si>
  <si>
    <t xml:space="preserve">Felhalmozási célú támogatások ÁHT-n belülről </t>
  </si>
  <si>
    <t>1.-ből EU-s támogatás</t>
  </si>
  <si>
    <t>Felhalmozási célú átvett pénzeszközök átvétele</t>
  </si>
  <si>
    <t xml:space="preserve">4.-ből EU-s támogatás </t>
  </si>
  <si>
    <t>Egyéb felhalmozási célú bevételek</t>
  </si>
  <si>
    <t>3.-ból EU-s forrásból megvalósuló felújítás</t>
  </si>
  <si>
    <t>Költségvetési bevételek összesen: (1.+3.+4.+6.)</t>
  </si>
  <si>
    <t>Hitelek, kölcsönök felvétele</t>
  </si>
  <si>
    <t>Felhalmozási célú finanszírozási bevételek összesen: (9.+11.)</t>
  </si>
  <si>
    <t>Felhalmozási célú finanszírozási kiadások összesen: (9.+…+12)</t>
  </si>
  <si>
    <t>Megnevezés</t>
  </si>
  <si>
    <t>F</t>
  </si>
  <si>
    <t>Beruházási (felhalmozási) kiadások előírányzata beruházásonként</t>
  </si>
  <si>
    <t>Beruházás megnevezése</t>
  </si>
  <si>
    <t>Összesen:</t>
  </si>
  <si>
    <t>Felújítási kiadások előírányzata felújításonként</t>
  </si>
  <si>
    <t>Felújítás megnevezése</t>
  </si>
  <si>
    <t>G</t>
  </si>
  <si>
    <t>H</t>
  </si>
  <si>
    <t>I</t>
  </si>
  <si>
    <t>J</t>
  </si>
  <si>
    <t>kötelező/nem kötelező</t>
  </si>
  <si>
    <t>Kiemelt előirányzatok</t>
  </si>
  <si>
    <t>Önkormányzatok működési támogatása</t>
  </si>
  <si>
    <t>Működési célú támogatások államháztartáson belülről</t>
  </si>
  <si>
    <t>Felhalmozási célú támogatások államháztartáson belülről</t>
  </si>
  <si>
    <t>Működési célra átvett pénzeszközök</t>
  </si>
  <si>
    <t>Bevételek összesen</t>
  </si>
  <si>
    <t>kötelező</t>
  </si>
  <si>
    <t>Talajterhelési díj</t>
  </si>
  <si>
    <t>nem kötelező</t>
  </si>
  <si>
    <t>Pénzeszköz átvétel munkaügyi Központtól hosszabb távú közfoglalkoztatásra</t>
  </si>
  <si>
    <t xml:space="preserve">Önkormányzat bérbeadás, város és községgazdálkodás m.n.s. szolg. </t>
  </si>
  <si>
    <t>Startmunka program bevétele</t>
  </si>
  <si>
    <t>Óvodai étkeztetés</t>
  </si>
  <si>
    <t>Alaptevékenység bevételei összesen</t>
  </si>
  <si>
    <t>Kötelező feladatok:</t>
  </si>
  <si>
    <t>Nem kötelező:</t>
  </si>
  <si>
    <t>Kötelező</t>
  </si>
  <si>
    <t>Nem kötelező</t>
  </si>
  <si>
    <t>Varázserdő Óvoda Medgyesegyháza</t>
  </si>
  <si>
    <t>Gondozási Központ Medgyesegyháza</t>
  </si>
  <si>
    <t>Összesen</t>
  </si>
  <si>
    <t>Kötelező mindösszesen:</t>
  </si>
  <si>
    <t>Nem kötelező mindösszesen:</t>
  </si>
  <si>
    <t>Mindösszesen:</t>
  </si>
  <si>
    <t>Felhalmozási célra átvett pénzeszközök</t>
  </si>
  <si>
    <t xml:space="preserve"> Finanszírozási bevételek - Támogatás működésre</t>
  </si>
  <si>
    <t>Szakfeladat</t>
  </si>
  <si>
    <t>Önkormányzati igazgatási tevékenység</t>
  </si>
  <si>
    <t>Alaptevékenység összesen</t>
  </si>
  <si>
    <t>Kötelező:</t>
  </si>
  <si>
    <t>L</t>
  </si>
  <si>
    <t>N</t>
  </si>
  <si>
    <t>P</t>
  </si>
  <si>
    <t>Kötelező/nem kötelező</t>
  </si>
  <si>
    <t>Háziorvosi alapellátás</t>
  </si>
  <si>
    <t>Fogorvosi alapellátás</t>
  </si>
  <si>
    <t>Egészségügyi labor</t>
  </si>
  <si>
    <t>Család és nővédelmi eü. gondozás</t>
  </si>
  <si>
    <t>Ifjúsági- egészségügyi gondozás</t>
  </si>
  <si>
    <t xml:space="preserve">Időskorúak bentlakásos szoc. ell. </t>
  </si>
  <si>
    <t>Idősek nappali ellátása</t>
  </si>
  <si>
    <t>Szociális étkeztetés</t>
  </si>
  <si>
    <t>Házi segítségnyújtás</t>
  </si>
  <si>
    <t>Óvodai nevelés, ellátás</t>
  </si>
  <si>
    <t xml:space="preserve"> </t>
  </si>
  <si>
    <t>K</t>
  </si>
  <si>
    <t>Szociális hozzájárulási adó</t>
  </si>
  <si>
    <t>Önkormányzat által folyósított ellátások</t>
  </si>
  <si>
    <t>Egyéb működési célú kiadások ÁH-n kívülre</t>
  </si>
  <si>
    <t>Egyéb működési célú kiadás ÁH-n belülre</t>
  </si>
  <si>
    <t>Tartalék</t>
  </si>
  <si>
    <t>Finanszírozási kiadások</t>
  </si>
  <si>
    <t>Finanszírozási kiadás Ktgvetési szerveknek</t>
  </si>
  <si>
    <t>Kiadások összesen</t>
  </si>
  <si>
    <t>Szakfeladat/Feladat</t>
  </si>
  <si>
    <t>Kötelező/ nem kötelező</t>
  </si>
  <si>
    <t>Finanszíroszási kiadások</t>
  </si>
  <si>
    <t>Engedélyezett létszám</t>
  </si>
  <si>
    <t>ebből: közfoglalkoztatott:</t>
  </si>
  <si>
    <t>Időskorúak bentlakásos szoc. ell.</t>
  </si>
  <si>
    <t xml:space="preserve">Engedélyezett létszám </t>
  </si>
  <si>
    <t xml:space="preserve">Engedélyezett létszám           </t>
  </si>
  <si>
    <t>Önkormányzat</t>
  </si>
  <si>
    <t>Államigazgatási feladatok</t>
  </si>
  <si>
    <t>Államigazgatási</t>
  </si>
  <si>
    <t>Egyéb működési célú kiadások Áht-n kívülre</t>
  </si>
  <si>
    <t>államigazg</t>
  </si>
  <si>
    <t>Államigazgatási:</t>
  </si>
  <si>
    <t>államigazgatási</t>
  </si>
  <si>
    <t>Medgyesegyházi Polgármesteri Hivatal</t>
  </si>
  <si>
    <t>Önkormányzatok szociális és gyermekjóléti feladatainak támogatása</t>
  </si>
  <si>
    <t>Költségvetési kiadások összesen: (1.+3.+5.+6.)</t>
  </si>
  <si>
    <t>Működési célú finanszírozási kiadások összesen: (=9.)</t>
  </si>
  <si>
    <t>Költségvetési maradvány</t>
  </si>
  <si>
    <t>forintban</t>
  </si>
  <si>
    <t>Művelődési Ház és Könyvtár</t>
  </si>
  <si>
    <t>Államigazgatási mindösszesen:</t>
  </si>
  <si>
    <t>Család és gyermekjóléti szolgáltatás</t>
  </si>
  <si>
    <t>Egyéb Felhalmozási célú kiadás ÁH-n belülre</t>
  </si>
  <si>
    <t>Önkormányzat létszáma</t>
  </si>
  <si>
    <t>Polgármester</t>
  </si>
  <si>
    <t>Képviselő</t>
  </si>
  <si>
    <t>Elszámolásból származó bevételek</t>
  </si>
  <si>
    <t>1 fő polgármester</t>
  </si>
  <si>
    <t>Medgyesegyháza Polgármesteri Hivatal</t>
  </si>
  <si>
    <t>Medgyesegyháza Városi Gondozási Központ</t>
  </si>
  <si>
    <t>Medgyesegyházi Varázserdő Óvoda</t>
  </si>
  <si>
    <t>Medgyesegyháza Városi Művelődési Ház és Könyvtár</t>
  </si>
  <si>
    <t>16 fő köztisztviselő</t>
  </si>
  <si>
    <t>1.5.-ből Előző évi elszámolásból származó befizetések</t>
  </si>
  <si>
    <t>Önkormányzatok felhalmozási támogatása</t>
  </si>
  <si>
    <t>Előző évi költségvetési maradvány igénybe vétele</t>
  </si>
  <si>
    <t>4 fő közalkalmazott 4 órás</t>
  </si>
  <si>
    <t>Jövedelemadók (Termőföld bérbeadás)</t>
  </si>
  <si>
    <t>Éven túli célhitel törlesztő részlete</t>
  </si>
  <si>
    <t>1.-ből EU-s forrásból megvalósuló beruházás</t>
  </si>
  <si>
    <t>Iparűzési adó</t>
  </si>
  <si>
    <t>Termőföld bérbeadás</t>
  </si>
  <si>
    <t>Elző évi költségvetési maradvány</t>
  </si>
  <si>
    <t>Előző évi költségvetési maradvány</t>
  </si>
  <si>
    <t>1 fő munkatörvénykönyves 6 órás</t>
  </si>
  <si>
    <t>Minibölcsőde</t>
  </si>
  <si>
    <t>6 fő képviselő</t>
  </si>
  <si>
    <t xml:space="preserve">29 fő közalkalmazott </t>
  </si>
  <si>
    <t>Pótlékok, bírságok</t>
  </si>
  <si>
    <t xml:space="preserve"> KÖLTSÉGVETÉSI, FINANSZÍROZOZÁSI BEVÉTELEK ÉS KIADÁSOK EGYENLEGE</t>
  </si>
  <si>
    <t>19.</t>
  </si>
  <si>
    <t>20.</t>
  </si>
  <si>
    <t>21.</t>
  </si>
  <si>
    <t>22.</t>
  </si>
  <si>
    <t>23.</t>
  </si>
  <si>
    <t>24.</t>
  </si>
  <si>
    <t>25.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</si>
  <si>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</si>
  <si>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</si>
  <si>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</si>
  <si>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</si>
  <si>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</si>
  <si>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</si>
  <si>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</si>
  <si>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</si>
  <si>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</si>
  <si>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37.</t>
  </si>
  <si>
    <t>40.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</si>
  <si>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</si>
  <si>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</si>
  <si>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</si>
  <si>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</si>
  <si>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</si>
  <si>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</si>
  <si>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</si>
  <si>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</si>
  <si>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</si>
  <si>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</si>
  <si>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</si>
  <si>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</si>
  <si>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</si>
  <si>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</si>
  <si>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</si>
  <si>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</si>
  <si>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</si>
  <si>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</si>
  <si>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</si>
  <si>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</si>
  <si>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</si>
  <si>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</si>
  <si>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</si>
  <si>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</si>
  <si>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</si>
  <si>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</si>
  <si>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</si>
  <si>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</si>
  <si>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</si>
  <si>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</si>
  <si>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</si>
  <si>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</si>
  <si>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</si>
  <si>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</si>
  <si>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</si>
  <si>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</si>
  <si>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</si>
  <si>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</si>
  <si>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</si>
  <si>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</si>
  <si>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</si>
  <si>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</si>
  <si>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</si>
  <si>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</si>
  <si>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</si>
  <si>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</si>
  <si>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</si>
  <si>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O</t>
  </si>
  <si>
    <t>R</t>
  </si>
  <si>
    <t>S</t>
  </si>
  <si>
    <t>T</t>
  </si>
  <si>
    <t>Sor szám</t>
  </si>
  <si>
    <t>Az önk.vagyonnal gazd. kapcs gazdálkodás</t>
  </si>
  <si>
    <t>Köztemető bevélelei</t>
  </si>
  <si>
    <t>Települési önk. Egyes szociális és gyerm.jóléti  felad. Támogatása(B1131)</t>
  </si>
  <si>
    <t>Telep.önk. Által biztosított egyes szoc. Szakosított ellátások (B1131)</t>
  </si>
  <si>
    <t>Gyermekétkeztetés támogatása (B1132)</t>
  </si>
  <si>
    <t>Rászoruló gyermekek szünidei étkeztetésének támogatása(B1132)</t>
  </si>
  <si>
    <t>Települési önkormányzatok kulturális feladatainak támogatása(B114)</t>
  </si>
  <si>
    <t>Működési c. költ. Tám.és kieg. Tám. (B115)</t>
  </si>
  <si>
    <t>Pénzeszköz átvétel munkaügyi Központtól START programra (B163)</t>
  </si>
  <si>
    <t xml:space="preserve">Közalkalmazott </t>
  </si>
  <si>
    <t xml:space="preserve">Hosszabb távú közfoglalkoztatott </t>
  </si>
  <si>
    <t xml:space="preserve">Közmunkaprogramban részt vevő </t>
  </si>
  <si>
    <t>Helyi önkormányzatok működésének általános támogatása(B11)</t>
  </si>
  <si>
    <t>Egyéb működési célú támogatások bevételei(B16)</t>
  </si>
  <si>
    <t>Felhalmozási célú önkormányzati támogatások(B22)</t>
  </si>
  <si>
    <t>Egyéb felhalmozási célú támogatások(B25)</t>
  </si>
  <si>
    <t>Pótlék, birság</t>
  </si>
  <si>
    <t>Működési bevételek (B4)</t>
  </si>
  <si>
    <t xml:space="preserve"> kötelező</t>
  </si>
  <si>
    <t>Egyéb működési célú támogatások bevételei (B16)</t>
  </si>
  <si>
    <t>Jövedelemadók (Termőföld bérbeadás)(B35)</t>
  </si>
  <si>
    <t>Felhalmozási célú önkormányzati támogatások(B23)</t>
  </si>
  <si>
    <t>Helyi önkormányzatok működésének általános támogatása(B111)</t>
  </si>
  <si>
    <t>Önkormányzatok egyes köznevelési feladatainak támogatása(B112)</t>
  </si>
  <si>
    <t>Önkormányzatok szociális és gyermekjóléti feladatainak támogatása(B113)</t>
  </si>
  <si>
    <t>Önkormányzatok kulturális feladatainak támogatása(B114)</t>
  </si>
  <si>
    <t>Működési célú költségvetési támogatások és kiegészítő támogatások(B115)</t>
  </si>
  <si>
    <t>Pőtlék, birság</t>
  </si>
  <si>
    <t>Elszámolásból származó bevételek(B16)</t>
  </si>
  <si>
    <t>Medgyesegyháza Városi Önkormányzat adósságot keletkeztető ügyletekből és kötelezettségvállalásokból 
fennálló kötelezettségei</t>
  </si>
  <si>
    <t>Forintban!</t>
  </si>
  <si>
    <t>Évek</t>
  </si>
  <si>
    <t>Összesen
F=(C+D+E)</t>
  </si>
  <si>
    <t>Éven túli célhitel törlesztő részlete + kamat</t>
  </si>
  <si>
    <t>ÖSSZES KÖTELEZETTSÉG:</t>
  </si>
  <si>
    <t>Medgyesegyháza Városi Önkormányzat saját bevételeinek részletezése az adósságot keletkeztető ügyletekből származó tárgyévi fizetési kötelezettség megállapításához</t>
  </si>
  <si>
    <t>Forintban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</si>
  <si>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</si>
  <si>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</si>
  <si>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</si>
  <si>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származó bevétel</t>
  </si>
  <si>
    <t>Bírság-, pótlék- díjbevétel</t>
  </si>
  <si>
    <t>Kezesség,- illetve garanciavállalással kapcsolatos megtérülés</t>
  </si>
  <si>
    <t>SAJÁT BEVÉTELEK ÖSSZESEN:</t>
  </si>
  <si>
    <t>Ezer forintban</t>
  </si>
  <si>
    <t>Fejlesztési cél leírása</t>
  </si>
  <si>
    <t>Fejlesztés várható kiadása</t>
  </si>
  <si>
    <t>ADÓSSÁGOT KELETKEZTETŐ ÜGYLETEK 
VÁRHATÓ EGYÜTTES ÖSSZEGE</t>
  </si>
  <si>
    <t>Európai Uniós támogatással megvalósuló porjektek
bevételei, kiadásai, hozzájárulások</t>
  </si>
  <si>
    <t>Források</t>
  </si>
  <si>
    <t>Saját erő</t>
  </si>
  <si>
    <t xml:space="preserve">     saját erőből központi támogatás</t>
  </si>
  <si>
    <t>EU-s forrás</t>
  </si>
  <si>
    <t>Társfinanszírozás</t>
  </si>
  <si>
    <t>Hitel</t>
  </si>
  <si>
    <t>Források összesen: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</si>
  <si>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</si>
  <si>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</si>
  <si>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</si>
  <si>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</si>
  <si>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</si>
  <si>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Kiadások, költségek összesen:</t>
  </si>
  <si>
    <t>Pénzeszköz átvétel OEP-től</t>
  </si>
  <si>
    <t>Schéner ház</t>
  </si>
  <si>
    <t>Lakóingatlan bérbeadása</t>
  </si>
  <si>
    <t>Nem lakó ingatlan bérbe adása, üzemelése</t>
  </si>
  <si>
    <t>Képviselő-testület kiadásai</t>
  </si>
  <si>
    <t>Közvilágítás</t>
  </si>
  <si>
    <t>Lakhatási támogatás</t>
  </si>
  <si>
    <t>Gyógyszer támogatás</t>
  </si>
  <si>
    <t>Bursa Támogatás</t>
  </si>
  <si>
    <t>Egyszeri támogatás</t>
  </si>
  <si>
    <t>Krízis</t>
  </si>
  <si>
    <t>Köztemetés</t>
  </si>
  <si>
    <t>Hulladék szállítási kedvezmény</t>
  </si>
  <si>
    <t>Hosszabb távú közfoglakoztatás</t>
  </si>
  <si>
    <t>Start mintaprogram</t>
  </si>
  <si>
    <t>Állami támogatások és megelőlegezések visszafizetése</t>
  </si>
  <si>
    <t>Éven túli céllhitel törlesztése</t>
  </si>
  <si>
    <t>Háziorvosi feladatok,  alapellátás</t>
  </si>
  <si>
    <t>Óvodai gyermekétkeztetés</t>
  </si>
  <si>
    <t>Közkifolyó kiadásai</t>
  </si>
  <si>
    <t>Szünidei gyermekétkeztetés</t>
  </si>
  <si>
    <t>Sportcsarnok, uszoda használat</t>
  </si>
  <si>
    <t>43.</t>
  </si>
  <si>
    <t>Önkormányzati üzemeltetési feladatok</t>
  </si>
  <si>
    <t>Bölcsödei gyermekétkeztetés</t>
  </si>
  <si>
    <t>Piac</t>
  </si>
  <si>
    <t>Pénzeszköz átvétel Pusztaottlaka</t>
  </si>
  <si>
    <t xml:space="preserve">Tartalék  </t>
  </si>
  <si>
    <t>Köztemető fenntartás</t>
  </si>
  <si>
    <t>Települési önkormányzatok egyes köznevelési feladat támogatása</t>
  </si>
  <si>
    <t>ÖSSZESEN:</t>
  </si>
  <si>
    <t>Eszköz beszerzés (Sátor)</t>
  </si>
  <si>
    <t>Szennyvíz és ivóvíz befizetési kötelezettség</t>
  </si>
  <si>
    <t>Sátor beszerzés</t>
  </si>
  <si>
    <t>Egyéb működési célú támogatás Áht-n belül</t>
  </si>
  <si>
    <t>Települési önkormányzatok működésének álatalános támogatása</t>
  </si>
  <si>
    <t>Gondozási központ tető részbeni csere</t>
  </si>
  <si>
    <t>Medgyeesegyházi Településüzemeletetési Kft +Ipari park Kft támogatása</t>
  </si>
  <si>
    <t>TOP-Plusz 1.2.1-21 Élhető települések</t>
  </si>
  <si>
    <t>Top-Plusz 2.1.1-21 Önkormányzati épületek energetikai korszerűsítése</t>
  </si>
  <si>
    <t>Uszoda bevétel</t>
  </si>
  <si>
    <t>Önkormányzatok egyes köznevelési feladatainak támogatása(B12)</t>
  </si>
  <si>
    <t>Önkormányzatok szociális és gyermekjóléti feladatainak támogatása(B13)</t>
  </si>
  <si>
    <t>Önkormányzatok kulturális feladatainak támogatása(B14)</t>
  </si>
  <si>
    <t>Működési célú költségvetési támogatások és kiegészítő támogatások(B15)</t>
  </si>
  <si>
    <t>Elszámolásból bevételek(B16)</t>
  </si>
  <si>
    <t>EU-s projekt neve, azonosítója: TOP-Plusz 1.2.1-21 Élhető települések</t>
  </si>
  <si>
    <t>EU-s projekt neve, azonosítója: Top-Plusz 2.1.1-21 Önkormányzati épületek energetikai korszerűsítése</t>
  </si>
  <si>
    <t>38.</t>
  </si>
  <si>
    <t>41.</t>
  </si>
  <si>
    <t>44.</t>
  </si>
  <si>
    <t>45.</t>
  </si>
  <si>
    <t>2024. évi 
előirányzat</t>
  </si>
  <si>
    <t>2024. évi
mód. előir</t>
  </si>
  <si>
    <t xml:space="preserve">  </t>
  </si>
  <si>
    <t>Tanyagondnoki szolgáltatás</t>
  </si>
  <si>
    <t>Rendezvények</t>
  </si>
  <si>
    <t>Óvoda klíma beszerzés</t>
  </si>
  <si>
    <t>5 fő munkatörvénykönyves</t>
  </si>
  <si>
    <t>Kerékpár beszerzés házi segítség nyújtás</t>
  </si>
  <si>
    <t>Irodai szék gyerekjólét</t>
  </si>
  <si>
    <t>Tanyagondok szolgáltatás</t>
  </si>
  <si>
    <t>16</t>
  </si>
  <si>
    <t>17</t>
  </si>
  <si>
    <t>EFOP-3.9.2 visszafizetés (Medgyesegyháza)</t>
  </si>
  <si>
    <t>TOP_PLUSZ-1.1.1-21-BS1-2022-00002 Helyi gazdság fejlesztés</t>
  </si>
  <si>
    <t>TOP-PLUSZ-3.3.2-21-BS1-2022-00002 Háziorvosi alapellátás infr.fejl.</t>
  </si>
  <si>
    <t>TOP-PLUSZ-3.3.2-21-BS1-2022-00030 Idősek Klubja ép.feluj.</t>
  </si>
  <si>
    <t>TOP_PLUSZ-1.2.3-21 Belterületi utak fejlesztése</t>
  </si>
  <si>
    <t>TOP Plusz -1.1.1 Helyi gazdasági fejlesztés</t>
  </si>
  <si>
    <t>TOP Plusz -3.3.2-21 Háziorvosi ellátás</t>
  </si>
  <si>
    <t>TOP Plusz -1.2.3 Belterületi utak</t>
  </si>
  <si>
    <t>TOP Plusz -3.3.2-21 Idősek klubbja</t>
  </si>
  <si>
    <t>EFOP-3.9.2 visszafizetés (Kistérség)</t>
  </si>
  <si>
    <t>Művelődési Ház és Könyvtár napelem rendszer korszerűsítése</t>
  </si>
  <si>
    <t>Likvid hitel</t>
  </si>
  <si>
    <t>1 fő közalkalmazott</t>
  </si>
  <si>
    <t xml:space="preserve">46 fő közmunkás </t>
  </si>
  <si>
    <t xml:space="preserve">10 fő hosszabb távú közfoglalkoztatott </t>
  </si>
  <si>
    <t>EU-s projekt neve, azonosítója: Top-Plusz 1.1.1-21 Helyi gazdasági fejlesztés</t>
  </si>
  <si>
    <t>EU-s projekt neve, azonosítója: Top-Plusz 3.3.2.-21 Háziorvosi ellátás</t>
  </si>
  <si>
    <t>EU-s projekt neve, azonosítója: Top-Plusz 3.3.2.-21 Idősek klubja</t>
  </si>
  <si>
    <t>EU-s projekt neve, azonosítója: Top-Plusz 1.2.3.-21 Belterületi utak</t>
  </si>
  <si>
    <t>26.</t>
  </si>
  <si>
    <t>36.</t>
  </si>
  <si>
    <t>39.</t>
  </si>
  <si>
    <t>42.</t>
  </si>
  <si>
    <t>Önkormányzati választás</t>
  </si>
  <si>
    <t>önkományzati választás</t>
  </si>
  <si>
    <t>Elvonások, befizetések</t>
  </si>
  <si>
    <t>Idegenforgalmi adó</t>
  </si>
  <si>
    <t>Építmény és telek adó</t>
  </si>
  <si>
    <t>Tagdíj (Kistérség, Dareh)</t>
  </si>
  <si>
    <t>Klíma beszerzés start</t>
  </si>
  <si>
    <t>Szivattyú start</t>
  </si>
  <si>
    <t>Polgármesteri Hivatal bútor beszerzés</t>
  </si>
  <si>
    <t>Könyvtár padlóburkolat</t>
  </si>
  <si>
    <t>Apartman bútor beszerzés</t>
  </si>
  <si>
    <t>víz forraló gyerekjólét</t>
  </si>
  <si>
    <t>Magyar falu önkormányzati tulajdonú épületek korszerűsítése</t>
  </si>
  <si>
    <t>Elszámolásból származó bevétel (B16)</t>
  </si>
  <si>
    <t>Autó lízing</t>
  </si>
  <si>
    <t>2025. évi 
előirányzat</t>
  </si>
  <si>
    <t>2025. évi
mód. előir</t>
  </si>
  <si>
    <t>Medgyesegyháza Város Önkormányzat 2025. évi bevételeinek alakulása - Gondozási Központ (forintban)</t>
  </si>
  <si>
    <t>Gondozási Központ 2025. évi kiadások kiemelt előirányzatonként
forintban</t>
  </si>
  <si>
    <t>Varázserdő Óvoda 2025. évi kiadások kiemelt előirányzatonként
forintban</t>
  </si>
  <si>
    <t>Medgyesegyháza Város Önkormányzat 2025. évi bevételeinek alakulása - Varázserdő Óvoda
forintban</t>
  </si>
  <si>
    <t>Medgyesegyházi Polgármesteri Hivatal 2025. évi kiadások kiemelt előirányzatonként
forintban</t>
  </si>
  <si>
    <t>2025. 
mód ei.</t>
  </si>
  <si>
    <t>Medgyesegyháza Város Önkormányzat 2025. évi bevételeinek alakulása - Medgyesegyházi Polgármesteri Hivatal
forintban</t>
  </si>
  <si>
    <t>Medgyesegyháza Város Önkormányzat 2025. évi bevételeinek alakulása - Művelődési Ház és Könyvtár (forintban)</t>
  </si>
  <si>
    <t>Művelődési Ház és Könyvtár 2025. évi kiadások kiemelt előirányzatonként
forintban</t>
  </si>
  <si>
    <t>2025 évi 
előirányzat</t>
  </si>
  <si>
    <t>Medgyesegyháza Városi Önkormányzat 2025. évi adósságot keletkeztető 
fejlesztési céljai</t>
  </si>
  <si>
    <t>Medgyesegyháza Város Önkormányzat 2025. évi bevételeinek alakulása - Önkormányzat
forintban</t>
  </si>
  <si>
    <t>Az Önkormányzat 2025. évi kiadások kiemelt előirányzatonként
forintban</t>
  </si>
  <si>
    <t>2025. ÉVI KÖLTSÉGVETÉSÉNEK ÖSSZEVONT MÉRLEGE (forintban)</t>
  </si>
  <si>
    <t>4.5.</t>
  </si>
  <si>
    <t>4.6.</t>
  </si>
  <si>
    <t>2025. ÉVI KÖLTSÉGVETÉS ÁLLAMIGAZGATÁSI FELADATAINAK MÉRLEGE
forintban</t>
  </si>
  <si>
    <t>2025. ÉVI KÖLTSÉGVETÉS ÖNKÉNT VÁLLALT FELADATAINAK MÉRLEGE
(forintban)</t>
  </si>
  <si>
    <t>2025. ÉVI KÖLTSÉGVETÉS KÖTELEZŐ FELADATAINAK MÉRLEGE (forintban)</t>
  </si>
  <si>
    <t>2025.</t>
  </si>
  <si>
    <t>2026. után</t>
  </si>
  <si>
    <t>2025. január 1-én engedélyezett létszámkeret</t>
  </si>
  <si>
    <t>0 jó</t>
  </si>
  <si>
    <t>Államháztartáson belüli megelőlegezés</t>
  </si>
  <si>
    <t>Finanszírozási bevételek</t>
  </si>
  <si>
    <t>Hivatal</t>
  </si>
  <si>
    <t>Könyvtár</t>
  </si>
  <si>
    <t>Óvoda</t>
  </si>
  <si>
    <t>GKP</t>
  </si>
  <si>
    <t>ÖNK</t>
  </si>
  <si>
    <t>Településüzemeltetés törzstőke emelés</t>
  </si>
  <si>
    <t>Magyar Falu Útfelújítás</t>
  </si>
  <si>
    <t>Lakóingatlanok villamos hálózat felújítása</t>
  </si>
  <si>
    <t>Emléktábla</t>
  </si>
  <si>
    <t>Adó igazgatás</t>
  </si>
  <si>
    <t>Civil-ház</t>
  </si>
  <si>
    <t>Könyvtár bútorok beszerzése</t>
  </si>
  <si>
    <t>Könyvtár könyvek beszerzése</t>
  </si>
  <si>
    <t>Polgármesteri Hivatal informatikai eszközök beszerzése</t>
  </si>
  <si>
    <t>Bölcsi számítógép, laptop beszerzés</t>
  </si>
  <si>
    <t>Bölcsi hangszóró beszerzés</t>
  </si>
  <si>
    <t>Bölcsőde</t>
  </si>
  <si>
    <t>Bölcsőde 3 db klíma beszerzés és villanyszerelése</t>
  </si>
  <si>
    <t>Bölcsőde Automata öntözőrendszer</t>
  </si>
  <si>
    <t>Magyar falu önkormányzati tulajdonú ingatlanok fejlesztése Idősek otthona hőközpont rekonstrukciója</t>
  </si>
  <si>
    <t>TTP-KP-1/2025/1-000187 Testvértelepülés pályázat</t>
  </si>
  <si>
    <t>Önkormányzati igazgatás</t>
  </si>
  <si>
    <t>4034430060 Versenyképes pr. Energiaközösség</t>
  </si>
  <si>
    <t>4034981504 Versenyképes pr. Térfigyelőrendszer</t>
  </si>
  <si>
    <t>Start eszközök: metszőolló, fűkasza</t>
  </si>
  <si>
    <t>Vezetékes telefon</t>
  </si>
  <si>
    <t>Kazáncsere Dózsa u. 2.</t>
  </si>
  <si>
    <t>3. számú faház felújítása</t>
  </si>
  <si>
    <t>MFP/OTIFB/2024 Idősek otthona hőközpont rekonstrukciója</t>
  </si>
  <si>
    <t>TOP Plusz -3.3.2-21 Idősek klubja visszafizetés</t>
  </si>
  <si>
    <t>TOP-Plusz-3.3.2-21 Háziorvis rendelő visszafizetés</t>
  </si>
  <si>
    <t>TOP Plusz -1.1.1 Helyi gazdasági fejlesztés visszafizetés</t>
  </si>
  <si>
    <t>TTP-KP-1-2025/1-000187 Testvértelepülés páláyzat</t>
  </si>
  <si>
    <t xml:space="preserve">4034430060-Versenyképes pr.  Energiaközösség </t>
  </si>
  <si>
    <t>4034981504- Versenyképes pr. Térfigyelőrendszer</t>
  </si>
  <si>
    <t>Bölcsődei étkeztetés</t>
  </si>
  <si>
    <t>Felhalmozási céltartalék</t>
  </si>
  <si>
    <t>19 fő pedagógus életpálya modell alapján foglalkoztatott</t>
  </si>
  <si>
    <t>5 fő közalkalmazott</t>
  </si>
  <si>
    <t>1. melléklet a          /2026.(………………) önkormányzati rendelethez</t>
  </si>
  <si>
    <t>2. melléklet a          /2026.(………………) önkormányzati rendelethez</t>
  </si>
  <si>
    <t>3. melléklet a          /2026.(………………) önkormányzati rendelethez</t>
  </si>
  <si>
    <t>4. melléklet a …….../2026.(………………) önkormányzati rendelethez</t>
  </si>
  <si>
    <t>5. melléklet a              ………/2026.(………..) önkormányzati rendelethez</t>
  </si>
  <si>
    <t>6. melléklet a  ………/2026.(………..) önkormányzati rendelethez</t>
  </si>
  <si>
    <t>7. melléklet a ……./2026.(……………..) önkormányzati rendelethez</t>
  </si>
  <si>
    <t>8. melléklet ..../2026. (…...) önkormányzati rendelethez</t>
  </si>
  <si>
    <t>9.  melléklet a .../2026. (....) önkormányzati rendelethez</t>
  </si>
  <si>
    <t>10.  melléklet a .../2026. (....) önkormányzati rendelethez</t>
  </si>
  <si>
    <t>12.  melléklet a ..../2026 (....) önkormányzati rendelethez</t>
  </si>
  <si>
    <t>13. melléklet .../2026. (...)  önkormányzati rendelethez</t>
  </si>
  <si>
    <t>14. melléklet a .../2026. (....) önkormányzati rendelethez</t>
  </si>
  <si>
    <t>15. melléklet a .../2026. (....) önkormányzati rendelethez</t>
  </si>
  <si>
    <t>16.melléklet a .../2026. (....) önkormányzati rendelethez</t>
  </si>
  <si>
    <t>17. melléklet a ……/2026.(…………) önkormányzati rendelethez</t>
  </si>
  <si>
    <t>18. melléklet a ……/2026.(…………) önkormányzati rendelethez</t>
  </si>
  <si>
    <t>19. számú melléklet a ……../2026.(………..) önkormányzati rendelethez</t>
  </si>
  <si>
    <t>20. számú  melléklet a ………/2026.(………) önkormányzati rendelethez</t>
  </si>
  <si>
    <t>21. melléklet a ………/2026.(…………..) önkormányzati rendelethet</t>
  </si>
  <si>
    <t>22. melléklet a ……../2026.(…………)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</si>
</sst>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#,##0.0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rgb="FF7030A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3" fillId="0" borderId="0"/>
  </cellStyleXfs>
  <cellXfs count="390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7" fillId="0" borderId="1" xfId="0" applyFont="1" applyBorder="1"/>
    <xf numFmtId="49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/>
    <xf numFmtId="0" fontId="6" fillId="0" borderId="6" xfId="0" applyFont="1" applyBorder="1"/>
    <xf numFmtId="0" fontId="7" fillId="0" borderId="9" xfId="0" applyFont="1" applyBorder="1"/>
    <xf numFmtId="0" fontId="6" fillId="0" borderId="6" xfId="0" applyFont="1" applyBorder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10" xfId="0" applyNumberFormat="1" applyFont="1" applyBorder="1" applyAlignment="1">
      <alignment horizontal="center"/>
    </xf>
    <xf numFmtId="0" fontId="6" fillId="0" borderId="11" xfId="0" applyFont="1" applyBorder="1"/>
    <xf numFmtId="49" fontId="7" fillId="0" borderId="4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49" fontId="6" fillId="0" borderId="5" xfId="0" applyNumberFormat="1" applyFont="1" applyBorder="1" applyAlignment="1">
      <alignment horizontal="center" wrapText="1"/>
    </xf>
    <xf numFmtId="49" fontId="7" fillId="0" borderId="9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7" fillId="0" borderId="13" xfId="0" applyFont="1" applyBorder="1"/>
    <xf numFmtId="49" fontId="6" fillId="0" borderId="14" xfId="0" applyNumberFormat="1" applyFont="1" applyBorder="1" applyAlignment="1">
      <alignment horizontal="center"/>
    </xf>
    <xf numFmtId="0" fontId="6" fillId="0" borderId="12" xfId="0" applyFon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/>
    <xf numFmtId="0" fontId="6" fillId="0" borderId="16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23" fillId="0" borderId="1" xfId="5" applyFont="1" applyBorder="1" applyAlignment="1">
      <alignment vertical="center"/>
    </xf>
    <xf numFmtId="0" fontId="20" fillId="2" borderId="1" xfId="5" applyFont="1" applyFill="1" applyBorder="1" applyAlignment="1">
      <alignment horizontal="center" vertical="center" wrapText="1"/>
    </xf>
    <xf numFmtId="0" fontId="21" fillId="2" borderId="0" xfId="5" applyFont="1" applyFill="1"/>
    <xf numFmtId="0" fontId="27" fillId="2" borderId="1" xfId="5" applyFont="1" applyFill="1" applyBorder="1" applyAlignment="1">
      <alignment horizontal="center" vertical="center"/>
    </xf>
    <xf numFmtId="0" fontId="24" fillId="0" borderId="1" xfId="5" applyFont="1" applyBorder="1" applyAlignment="1">
      <alignment horizontal="center"/>
    </xf>
    <xf numFmtId="0" fontId="15" fillId="0" borderId="1" xfId="5" applyFont="1" applyBorder="1" applyAlignment="1">
      <alignment vertical="center"/>
    </xf>
    <xf numFmtId="3" fontId="28" fillId="0" borderId="1" xfId="5" applyNumberFormat="1" applyFont="1" applyBorder="1" applyAlignment="1">
      <alignment horizontal="right" vertical="center"/>
    </xf>
    <xf numFmtId="0" fontId="21" fillId="0" borderId="0" xfId="5" applyFont="1"/>
    <xf numFmtId="0" fontId="21" fillId="2" borderId="1" xfId="5" applyFont="1" applyFill="1" applyBorder="1"/>
    <xf numFmtId="3" fontId="21" fillId="2" borderId="0" xfId="5" applyNumberFormat="1" applyFont="1" applyFill="1"/>
    <xf numFmtId="0" fontId="15" fillId="2" borderId="1" xfId="5" applyFont="1" applyFill="1" applyBorder="1" applyAlignment="1">
      <alignment vertical="center"/>
    </xf>
    <xf numFmtId="3" fontId="21" fillId="2" borderId="1" xfId="5" applyNumberFormat="1" applyFont="1" applyFill="1" applyBorder="1"/>
    <xf numFmtId="3" fontId="28" fillId="2" borderId="1" xfId="5" applyNumberFormat="1" applyFont="1" applyFill="1" applyBorder="1"/>
    <xf numFmtId="0" fontId="24" fillId="2" borderId="0" xfId="5" applyFont="1" applyFill="1"/>
    <xf numFmtId="0" fontId="21" fillId="0" borderId="1" xfId="5" applyFont="1" applyBorder="1" applyAlignment="1">
      <alignment horizontal="center"/>
    </xf>
    <xf numFmtId="0" fontId="27" fillId="0" borderId="1" xfId="5" applyFont="1" applyBorder="1" applyAlignment="1">
      <alignment horizontal="center" vertical="center"/>
    </xf>
    <xf numFmtId="0" fontId="28" fillId="0" borderId="1" xfId="5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1" xfId="5" applyFont="1" applyBorder="1"/>
    <xf numFmtId="0" fontId="28" fillId="0" borderId="0" xfId="5" applyFont="1"/>
    <xf numFmtId="0" fontId="21" fillId="0" borderId="1" xfId="5" applyFont="1" applyBorder="1" applyAlignment="1">
      <alignment vertical="center"/>
    </xf>
    <xf numFmtId="3" fontId="21" fillId="0" borderId="0" xfId="5" applyNumberFormat="1" applyFont="1"/>
    <xf numFmtId="0" fontId="28" fillId="0" borderId="1" xfId="5" applyFont="1" applyBorder="1"/>
    <xf numFmtId="3" fontId="7" fillId="0" borderId="4" xfId="0" applyNumberFormat="1" applyFont="1" applyBorder="1"/>
    <xf numFmtId="3" fontId="6" fillId="0" borderId="4" xfId="0" applyNumberFormat="1" applyFont="1" applyBorder="1"/>
    <xf numFmtId="0" fontId="6" fillId="0" borderId="4" xfId="0" applyFont="1" applyBorder="1"/>
    <xf numFmtId="3" fontId="7" fillId="0" borderId="0" xfId="0" applyNumberFormat="1" applyFont="1"/>
    <xf numFmtId="3" fontId="6" fillId="0" borderId="6" xfId="0" applyNumberFormat="1" applyFont="1" applyBorder="1" applyAlignment="1">
      <alignment horizontal="center"/>
    </xf>
    <xf numFmtId="3" fontId="28" fillId="0" borderId="1" xfId="5" applyNumberFormat="1" applyFont="1" applyBorder="1"/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7" fillId="0" borderId="0" xfId="0" applyNumberFormat="1" applyFont="1"/>
    <xf numFmtId="165" fontId="6" fillId="0" borderId="0" xfId="0" applyNumberFormat="1" applyFont="1" applyAlignment="1">
      <alignment horizontal="center"/>
    </xf>
    <xf numFmtId="0" fontId="28" fillId="0" borderId="1" xfId="5" applyFont="1" applyBorder="1" applyAlignment="1">
      <alignment horizontal="center"/>
    </xf>
    <xf numFmtId="0" fontId="6" fillId="0" borderId="20" xfId="0" applyFont="1" applyBorder="1"/>
    <xf numFmtId="0" fontId="6" fillId="0" borderId="4" xfId="0" applyFont="1" applyBorder="1" applyAlignment="1">
      <alignment horizontal="center"/>
    </xf>
    <xf numFmtId="3" fontId="6" fillId="0" borderId="20" xfId="0" applyNumberFormat="1" applyFont="1" applyBorder="1" applyAlignment="1">
      <alignment horizontal="center" vertical="center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0" xfId="0" applyFont="1" applyBorder="1" applyAlignment="1">
      <alignment wrapText="1"/>
    </xf>
    <xf numFmtId="0" fontId="28" fillId="2" borderId="1" xfId="5" applyFont="1" applyFill="1" applyBorder="1"/>
    <xf numFmtId="165" fontId="6" fillId="0" borderId="12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0" fontId="9" fillId="0" borderId="0" xfId="5" applyFont="1"/>
    <xf numFmtId="0" fontId="10" fillId="0" borderId="1" xfId="5" applyFont="1" applyBorder="1" applyAlignment="1">
      <alignment horizontal="center"/>
    </xf>
    <xf numFmtId="0" fontId="12" fillId="0" borderId="1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/>
    </xf>
    <xf numFmtId="0" fontId="20" fillId="0" borderId="1" xfId="5" applyFont="1" applyBorder="1" applyAlignment="1">
      <alignment horizontal="center" vertical="center" wrapText="1"/>
    </xf>
    <xf numFmtId="0" fontId="22" fillId="0" borderId="1" xfId="5" applyFont="1" applyBorder="1" applyAlignment="1">
      <alignment vertical="center"/>
    </xf>
    <xf numFmtId="165" fontId="22" fillId="0" borderId="1" xfId="5" applyNumberFormat="1" applyFont="1" applyBorder="1" applyAlignment="1">
      <alignment vertical="center"/>
    </xf>
    <xf numFmtId="0" fontId="9" fillId="0" borderId="1" xfId="5" applyFont="1" applyBorder="1"/>
    <xf numFmtId="0" fontId="4" fillId="0" borderId="0" xfId="5"/>
    <xf numFmtId="0" fontId="9" fillId="0" borderId="0" xfId="5" applyFont="1" applyAlignment="1">
      <alignment horizontal="right"/>
    </xf>
    <xf numFmtId="3" fontId="4" fillId="0" borderId="0" xfId="5" applyNumberFormat="1"/>
    <xf numFmtId="3" fontId="4" fillId="0" borderId="16" xfId="5" applyNumberFormat="1" applyBorder="1"/>
    <xf numFmtId="0" fontId="13" fillId="0" borderId="1" xfId="5" applyFont="1" applyBorder="1" applyAlignment="1">
      <alignment horizontal="center"/>
    </xf>
    <xf numFmtId="0" fontId="12" fillId="0" borderId="1" xfId="5" applyFont="1" applyBorder="1" applyAlignment="1">
      <alignment horizontal="center" wrapText="1"/>
    </xf>
    <xf numFmtId="0" fontId="17" fillId="0" borderId="0" xfId="5" applyFont="1"/>
    <xf numFmtId="0" fontId="20" fillId="0" borderId="1" xfId="5" applyFont="1" applyBorder="1" applyAlignment="1">
      <alignment horizontal="center" vertical="center"/>
    </xf>
    <xf numFmtId="0" fontId="10" fillId="0" borderId="0" xfId="5" applyFont="1" applyAlignment="1">
      <alignment horizontal="center"/>
    </xf>
    <xf numFmtId="0" fontId="6" fillId="0" borderId="1" xfId="5" applyFont="1" applyBorder="1" applyAlignment="1">
      <alignment horizontal="center" vertical="center"/>
    </xf>
    <xf numFmtId="0" fontId="14" fillId="0" borderId="1" xfId="5" applyFont="1" applyBorder="1" applyAlignment="1">
      <alignment vertical="center"/>
    </xf>
    <xf numFmtId="0" fontId="24" fillId="0" borderId="0" xfId="5" applyFont="1"/>
    <xf numFmtId="0" fontId="24" fillId="0" borderId="1" xfId="5" applyFont="1" applyBorder="1"/>
    <xf numFmtId="3" fontId="21" fillId="0" borderId="1" xfId="5" applyNumberFormat="1" applyFont="1" applyBorder="1"/>
    <xf numFmtId="0" fontId="2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left" vertical="center" wrapText="1"/>
    </xf>
    <xf numFmtId="3" fontId="21" fillId="0" borderId="1" xfId="5" applyNumberFormat="1" applyFont="1" applyBorder="1" applyAlignment="1">
      <alignment horizontal="right" vertical="center"/>
    </xf>
    <xf numFmtId="0" fontId="30" fillId="0" borderId="1" xfId="5" applyFont="1" applyBorder="1" applyAlignment="1">
      <alignment horizontal="center" vertical="center"/>
    </xf>
    <xf numFmtId="0" fontId="31" fillId="0" borderId="0" xfId="5" applyFont="1"/>
    <xf numFmtId="3" fontId="6" fillId="0" borderId="6" xfId="0" applyNumberFormat="1" applyFont="1" applyBorder="1"/>
    <xf numFmtId="3" fontId="9" fillId="0" borderId="0" xfId="5" applyNumberFormat="1" applyFont="1"/>
    <xf numFmtId="3" fontId="6" fillId="0" borderId="7" xfId="0" applyNumberFormat="1" applyFont="1" applyBorder="1"/>
    <xf numFmtId="3" fontId="6" fillId="0" borderId="12" xfId="0" applyNumberFormat="1" applyFont="1" applyBorder="1"/>
    <xf numFmtId="3" fontId="7" fillId="0" borderId="28" xfId="0" applyNumberFormat="1" applyFont="1" applyBorder="1"/>
    <xf numFmtId="3" fontId="7" fillId="0" borderId="29" xfId="0" applyNumberFormat="1" applyFont="1" applyBorder="1"/>
    <xf numFmtId="3" fontId="7" fillId="0" borderId="1" xfId="0" applyNumberFormat="1" applyFont="1" applyBorder="1"/>
    <xf numFmtId="3" fontId="7" fillId="0" borderId="30" xfId="0" applyNumberFormat="1" applyFont="1" applyBorder="1"/>
    <xf numFmtId="3" fontId="7" fillId="0" borderId="17" xfId="0" applyNumberFormat="1" applyFont="1" applyBorder="1"/>
    <xf numFmtId="3" fontId="6" fillId="0" borderId="31" xfId="0" applyNumberFormat="1" applyFont="1" applyBorder="1"/>
    <xf numFmtId="3" fontId="7" fillId="0" borderId="9" xfId="0" applyNumberFormat="1" applyFont="1" applyBorder="1"/>
    <xf numFmtId="3" fontId="6" fillId="0" borderId="26" xfId="0" applyNumberFormat="1" applyFont="1" applyBorder="1"/>
    <xf numFmtId="3" fontId="6" fillId="0" borderId="32" xfId="0" applyNumberFormat="1" applyFont="1" applyBorder="1"/>
    <xf numFmtId="3" fontId="7" fillId="0" borderId="13" xfId="0" applyNumberFormat="1" applyFont="1" applyBorder="1"/>
    <xf numFmtId="3" fontId="7" fillId="0" borderId="19" xfId="0" applyNumberFormat="1" applyFont="1" applyBorder="1"/>
    <xf numFmtId="3" fontId="7" fillId="0" borderId="12" xfId="0" applyNumberFormat="1" applyFont="1" applyBorder="1"/>
    <xf numFmtId="3" fontId="6" fillId="0" borderId="20" xfId="0" applyNumberFormat="1" applyFont="1" applyBorder="1"/>
    <xf numFmtId="3" fontId="6" fillId="0" borderId="6" xfId="0" applyNumberFormat="1" applyFont="1" applyBorder="1" applyAlignment="1">
      <alignment wrapText="1"/>
    </xf>
    <xf numFmtId="3" fontId="6" fillId="0" borderId="12" xfId="0" applyNumberFormat="1" applyFont="1" applyBorder="1" applyAlignment="1">
      <alignment wrapText="1"/>
    </xf>
    <xf numFmtId="3" fontId="6" fillId="0" borderId="13" xfId="0" applyNumberFormat="1" applyFont="1" applyBorder="1"/>
    <xf numFmtId="3" fontId="22" fillId="0" borderId="1" xfId="5" applyNumberFormat="1" applyFont="1" applyBorder="1" applyAlignment="1">
      <alignment vertical="center"/>
    </xf>
    <xf numFmtId="3" fontId="22" fillId="0" borderId="1" xfId="5" applyNumberFormat="1" applyFont="1" applyBorder="1" applyAlignment="1">
      <alignment horizontal="right" vertical="center"/>
    </xf>
    <xf numFmtId="3" fontId="20" fillId="0" borderId="1" xfId="5" applyNumberFormat="1" applyFont="1" applyBorder="1" applyAlignment="1">
      <alignment horizontal="right" vertical="center"/>
    </xf>
    <xf numFmtId="3" fontId="9" fillId="0" borderId="1" xfId="5" applyNumberFormat="1" applyFont="1" applyBorder="1"/>
    <xf numFmtId="3" fontId="14" fillId="0" borderId="1" xfId="5" applyNumberFormat="1" applyFont="1" applyBorder="1" applyAlignment="1">
      <alignment vertical="center"/>
    </xf>
    <xf numFmtId="3" fontId="14" fillId="0" borderId="1" xfId="5" applyNumberFormat="1" applyFont="1" applyBorder="1" applyAlignment="1">
      <alignment horizontal="right" vertical="center"/>
    </xf>
    <xf numFmtId="3" fontId="9" fillId="0" borderId="1" xfId="5" applyNumberFormat="1" applyFont="1" applyBorder="1" applyAlignment="1">
      <alignment vertical="center"/>
    </xf>
    <xf numFmtId="3" fontId="23" fillId="0" borderId="1" xfId="5" applyNumberFormat="1" applyFont="1" applyBorder="1" applyAlignment="1">
      <alignment vertical="center"/>
    </xf>
    <xf numFmtId="3" fontId="23" fillId="0" borderId="1" xfId="5" applyNumberFormat="1" applyFont="1" applyBorder="1" applyAlignment="1">
      <alignment horizontal="right" vertical="center"/>
    </xf>
    <xf numFmtId="3" fontId="13" fillId="0" borderId="1" xfId="5" applyNumberFormat="1" applyFont="1" applyBorder="1" applyAlignment="1">
      <alignment vertical="center"/>
    </xf>
    <xf numFmtId="3" fontId="17" fillId="0" borderId="1" xfId="5" applyNumberFormat="1" applyFont="1" applyBorder="1"/>
    <xf numFmtId="3" fontId="15" fillId="0" borderId="1" xfId="5" applyNumberFormat="1" applyFont="1" applyBorder="1" applyAlignment="1">
      <alignment horizontal="right" vertical="center"/>
    </xf>
    <xf numFmtId="3" fontId="13" fillId="0" borderId="1" xfId="5" applyNumberFormat="1" applyFont="1" applyBorder="1" applyAlignment="1">
      <alignment horizontal="right" vertical="center"/>
    </xf>
    <xf numFmtId="3" fontId="13" fillId="0" borderId="1" xfId="5" applyNumberFormat="1" applyFont="1" applyBorder="1"/>
    <xf numFmtId="0" fontId="11" fillId="0" borderId="1" xfId="5" applyFont="1" applyBorder="1" applyAlignment="1">
      <alignment horizontal="center" vertical="center" wrapText="1"/>
    </xf>
    <xf numFmtId="0" fontId="25" fillId="0" borderId="23" xfId="5" applyFont="1" applyBorder="1" applyAlignment="1">
      <alignment horizontal="center" vertical="center" wrapText="1"/>
    </xf>
    <xf numFmtId="0" fontId="28" fillId="2" borderId="1" xfId="5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0" fillId="0" borderId="4" xfId="5" applyFont="1" applyBorder="1" applyAlignment="1">
      <alignment horizontal="center"/>
    </xf>
    <xf numFmtId="0" fontId="9" fillId="0" borderId="1" xfId="5" applyFont="1" applyBorder="1" applyAlignment="1">
      <alignment horizontal="center"/>
    </xf>
    <xf numFmtId="0" fontId="20" fillId="0" borderId="1" xfId="5" applyFont="1" applyBorder="1" applyAlignment="1">
      <alignment horizontal="center" wrapText="1"/>
    </xf>
    <xf numFmtId="3" fontId="22" fillId="2" borderId="1" xfId="5" applyNumberFormat="1" applyFont="1" applyFill="1" applyBorder="1" applyAlignment="1">
      <alignment horizontal="right" vertical="center"/>
    </xf>
    <xf numFmtId="0" fontId="9" fillId="0" borderId="1" xfId="5" quotePrefix="1" applyFont="1" applyBorder="1" applyAlignment="1">
      <alignment horizontal="center"/>
    </xf>
    <xf numFmtId="0" fontId="13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wrapText="1"/>
    </xf>
    <xf numFmtId="0" fontId="20" fillId="0" borderId="1" xfId="5" applyFont="1" applyBorder="1" applyAlignment="1">
      <alignment vertical="center"/>
    </xf>
    <xf numFmtId="0" fontId="18" fillId="0" borderId="1" xfId="5" applyFont="1" applyBorder="1" applyAlignment="1">
      <alignment horizontal="center" wrapText="1"/>
    </xf>
    <xf numFmtId="0" fontId="14" fillId="0" borderId="1" xfId="5" applyFont="1" applyBorder="1" applyAlignment="1">
      <alignment horizontal="center"/>
    </xf>
    <xf numFmtId="0" fontId="8" fillId="0" borderId="1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wrapText="1"/>
    </xf>
    <xf numFmtId="0" fontId="2" fillId="0" borderId="1" xfId="5" applyFont="1" applyBorder="1"/>
    <xf numFmtId="0" fontId="8" fillId="0" borderId="1" xfId="5" applyFont="1" applyBorder="1" applyAlignment="1">
      <alignment horizontal="center"/>
    </xf>
    <xf numFmtId="0" fontId="28" fillId="0" borderId="1" xfId="5" applyFont="1" applyBorder="1" applyAlignment="1">
      <alignment horizontal="center" wrapText="1"/>
    </xf>
    <xf numFmtId="0" fontId="21" fillId="0" borderId="1" xfId="5" applyFont="1" applyBorder="1" applyAlignment="1">
      <alignment horizontal="center" wrapText="1"/>
    </xf>
    <xf numFmtId="0" fontId="24" fillId="0" borderId="0" xfId="5" applyFont="1" applyAlignment="1">
      <alignment horizontal="center"/>
    </xf>
    <xf numFmtId="0" fontId="9" fillId="0" borderId="1" xfId="5" applyFont="1" applyBorder="1" applyAlignment="1">
      <alignment vertical="center"/>
    </xf>
    <xf numFmtId="0" fontId="21" fillId="2" borderId="1" xfId="5" applyFont="1" applyFill="1" applyBorder="1" applyAlignment="1">
      <alignment horizontal="center"/>
    </xf>
    <xf numFmtId="0" fontId="28" fillId="2" borderId="1" xfId="5" applyFont="1" applyFill="1" applyBorder="1" applyAlignment="1">
      <alignment horizontal="center"/>
    </xf>
    <xf numFmtId="0" fontId="28" fillId="2" borderId="1" xfId="5" applyFont="1" applyFill="1" applyBorder="1" applyAlignment="1">
      <alignment horizontal="center" wrapText="1"/>
    </xf>
    <xf numFmtId="0" fontId="24" fillId="2" borderId="0" xfId="5" applyFont="1" applyFill="1" applyAlignment="1">
      <alignment horizontal="center"/>
    </xf>
    <xf numFmtId="0" fontId="21" fillId="2" borderId="1" xfId="5" applyFont="1" applyFill="1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3" fontId="15" fillId="2" borderId="1" xfId="5" applyNumberFormat="1" applyFont="1" applyFill="1" applyBorder="1" applyAlignment="1">
      <alignment horizontal="right" vertical="center"/>
    </xf>
    <xf numFmtId="3" fontId="28" fillId="2" borderId="1" xfId="5" applyNumberFormat="1" applyFont="1" applyFill="1" applyBorder="1" applyAlignment="1">
      <alignment horizontal="right" vertical="center"/>
    </xf>
    <xf numFmtId="3" fontId="6" fillId="0" borderId="11" xfId="0" applyNumberFormat="1" applyFont="1" applyBorder="1"/>
    <xf numFmtId="3" fontId="6" fillId="0" borderId="27" xfId="0" applyNumberFormat="1" applyFont="1" applyBorder="1"/>
    <xf numFmtId="3" fontId="21" fillId="0" borderId="1" xfId="5" applyNumberFormat="1" applyFont="1" applyBorder="1" applyAlignment="1">
      <alignment horizontal="center" vertical="center" wrapText="1"/>
    </xf>
    <xf numFmtId="3" fontId="6" fillId="0" borderId="0" xfId="0" applyNumberFormat="1" applyFont="1"/>
    <xf numFmtId="0" fontId="7" fillId="0" borderId="0" xfId="0" applyFont="1" applyAlignment="1">
      <alignment horizontal="right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7" fillId="0" borderId="9" xfId="0" applyFont="1" applyBorder="1" applyAlignment="1">
      <alignment wrapText="1"/>
    </xf>
    <xf numFmtId="0" fontId="6" fillId="0" borderId="7" xfId="0" applyFont="1" applyBorder="1"/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0" borderId="1" xfId="5" applyFont="1" applyBorder="1" applyAlignment="1">
      <alignment vertical="center" wrapText="1"/>
    </xf>
    <xf numFmtId="0" fontId="34" fillId="0" borderId="0" xfId="0" applyFont="1"/>
    <xf numFmtId="165" fontId="34" fillId="0" borderId="0" xfId="0" applyNumberFormat="1" applyFont="1"/>
    <xf numFmtId="49" fontId="32" fillId="0" borderId="0" xfId="0" applyNumberFormat="1" applyFont="1" applyAlignment="1">
      <alignment horizontal="center"/>
    </xf>
    <xf numFmtId="0" fontId="32" fillId="0" borderId="0" xfId="0" applyFont="1"/>
    <xf numFmtId="0" fontId="27" fillId="0" borderId="0" xfId="0" applyFont="1" applyAlignment="1">
      <alignment horizontal="center"/>
    </xf>
    <xf numFmtId="3" fontId="15" fillId="0" borderId="1" xfId="5" applyNumberFormat="1" applyFont="1" applyBorder="1" applyAlignment="1">
      <alignment vertical="center"/>
    </xf>
    <xf numFmtId="3" fontId="28" fillId="0" borderId="1" xfId="5" applyNumberFormat="1" applyFont="1" applyBorder="1" applyAlignment="1">
      <alignment horizontal="right" vertical="center" wrapText="1"/>
    </xf>
    <xf numFmtId="0" fontId="26" fillId="0" borderId="1" xfId="5" applyFont="1" applyBorder="1" applyAlignment="1">
      <alignment horizontal="center"/>
    </xf>
    <xf numFmtId="3" fontId="29" fillId="0" borderId="1" xfId="5" applyNumberFormat="1" applyFont="1" applyBorder="1" applyAlignment="1">
      <alignment vertical="center"/>
    </xf>
    <xf numFmtId="3" fontId="28" fillId="0" borderId="0" xfId="5" applyNumberFormat="1" applyFont="1" applyAlignment="1">
      <alignment horizontal="right" vertical="center" wrapText="1"/>
    </xf>
    <xf numFmtId="3" fontId="28" fillId="0" borderId="0" xfId="5" applyNumberFormat="1" applyFont="1"/>
    <xf numFmtId="165" fontId="28" fillId="0" borderId="1" xfId="5" applyNumberFormat="1" applyFont="1" applyBorder="1" applyAlignment="1">
      <alignment horizontal="right" vertical="center" wrapText="1"/>
    </xf>
    <xf numFmtId="3" fontId="29" fillId="0" borderId="0" xfId="5" applyNumberFormat="1" applyFont="1" applyAlignment="1">
      <alignment vertical="center"/>
    </xf>
    <xf numFmtId="165" fontId="21" fillId="0" borderId="1" xfId="5" applyNumberFormat="1" applyFont="1" applyBorder="1"/>
    <xf numFmtId="165" fontId="28" fillId="0" borderId="1" xfId="5" applyNumberFormat="1" applyFont="1" applyBorder="1"/>
    <xf numFmtId="165" fontId="28" fillId="0" borderId="1" xfId="5" applyNumberFormat="1" applyFont="1" applyBorder="1" applyAlignment="1">
      <alignment horizontal="right" vertical="center"/>
    </xf>
    <xf numFmtId="3" fontId="28" fillId="0" borderId="0" xfId="5" applyNumberFormat="1" applyFont="1" applyAlignment="1">
      <alignment horizontal="right" vertical="center"/>
    </xf>
    <xf numFmtId="0" fontId="32" fillId="0" borderId="1" xfId="5" applyFont="1" applyBorder="1" applyAlignment="1">
      <alignment horizontal="left" vertical="center"/>
    </xf>
    <xf numFmtId="165" fontId="21" fillId="0" borderId="1" xfId="5" applyNumberFormat="1" applyFont="1" applyBorder="1" applyAlignment="1">
      <alignment horizontal="right" vertical="center"/>
    </xf>
    <xf numFmtId="3" fontId="21" fillId="0" borderId="0" xfId="5" applyNumberFormat="1" applyFont="1" applyAlignment="1">
      <alignment horizontal="right" vertical="center"/>
    </xf>
    <xf numFmtId="0" fontId="27" fillId="0" borderId="1" xfId="5" applyFont="1" applyBorder="1" applyAlignment="1">
      <alignment horizontal="left" vertical="center"/>
    </xf>
    <xf numFmtId="0" fontId="32" fillId="0" borderId="1" xfId="5" applyFont="1" applyBorder="1" applyAlignment="1">
      <alignment horizontal="center" vertical="center"/>
    </xf>
    <xf numFmtId="0" fontId="28" fillId="0" borderId="1" xfId="5" applyFont="1" applyBorder="1" applyAlignment="1">
      <alignment vertical="center"/>
    </xf>
    <xf numFmtId="3" fontId="21" fillId="0" borderId="1" xfId="5" applyNumberFormat="1" applyFont="1" applyBorder="1" applyAlignment="1">
      <alignment horizontal="right" vertical="center" wrapText="1"/>
    </xf>
    <xf numFmtId="165" fontId="21" fillId="0" borderId="1" xfId="5" applyNumberFormat="1" applyFont="1" applyBorder="1" applyAlignment="1">
      <alignment horizontal="right" vertical="center" wrapText="1"/>
    </xf>
    <xf numFmtId="3" fontId="21" fillId="0" borderId="0" xfId="5" applyNumberFormat="1" applyFont="1" applyAlignment="1">
      <alignment horizontal="right" vertical="center" wrapText="1"/>
    </xf>
    <xf numFmtId="165" fontId="29" fillId="0" borderId="1" xfId="5" applyNumberFormat="1" applyFont="1" applyBorder="1" applyAlignment="1">
      <alignment vertical="center"/>
    </xf>
    <xf numFmtId="0" fontId="28" fillId="0" borderId="0" xfId="5" applyFont="1" applyAlignment="1">
      <alignment horizontal="center" vertical="center" wrapText="1"/>
    </xf>
    <xf numFmtId="0" fontId="26" fillId="0" borderId="1" xfId="5" applyFont="1" applyBorder="1" applyAlignment="1">
      <alignment horizontal="center" wrapText="1"/>
    </xf>
    <xf numFmtId="0" fontId="35" fillId="0" borderId="0" xfId="5" applyFont="1"/>
    <xf numFmtId="3" fontId="35" fillId="0" borderId="0" xfId="5" applyNumberFormat="1" applyFont="1"/>
    <xf numFmtId="0" fontId="7" fillId="0" borderId="25" xfId="0" applyFont="1" applyBorder="1" applyAlignment="1">
      <alignment horizontal="center"/>
    </xf>
    <xf numFmtId="3" fontId="7" fillId="0" borderId="23" xfId="0" applyNumberFormat="1" applyFont="1" applyBorder="1"/>
    <xf numFmtId="0" fontId="21" fillId="0" borderId="0" xfId="5" applyFont="1" applyAlignment="1">
      <alignment horizontal="right"/>
    </xf>
    <xf numFmtId="0" fontId="28" fillId="0" borderId="22" xfId="5" applyFont="1" applyBorder="1" applyAlignment="1">
      <alignment horizontal="center"/>
    </xf>
    <xf numFmtId="0" fontId="21" fillId="0" borderId="18" xfId="5" applyFont="1" applyBorder="1" applyAlignment="1">
      <alignment horizontal="center"/>
    </xf>
    <xf numFmtId="0" fontId="21" fillId="0" borderId="18" xfId="5" applyFont="1" applyBorder="1" applyAlignment="1">
      <alignment horizontal="right"/>
    </xf>
    <xf numFmtId="0" fontId="25" fillId="0" borderId="0" xfId="5" applyFont="1" applyAlignment="1">
      <alignment horizontal="center" vertical="center"/>
    </xf>
    <xf numFmtId="0" fontId="21" fillId="0" borderId="1" xfId="5" quotePrefix="1" applyFont="1" applyBorder="1" applyAlignment="1">
      <alignment horizontal="center"/>
    </xf>
    <xf numFmtId="0" fontId="24" fillId="0" borderId="1" xfId="5" applyFont="1" applyBorder="1" applyAlignment="1">
      <alignment horizontal="center" wrapText="1"/>
    </xf>
    <xf numFmtId="0" fontId="36" fillId="0" borderId="1" xfId="5" applyFont="1" applyBorder="1" applyAlignment="1">
      <alignment horizontal="left" vertical="center"/>
    </xf>
    <xf numFmtId="3" fontId="15" fillId="0" borderId="1" xfId="5" applyNumberFormat="1" applyFont="1" applyBorder="1" applyAlignment="1">
      <alignment horizontal="center" vertical="center" wrapText="1"/>
    </xf>
    <xf numFmtId="0" fontId="35" fillId="0" borderId="1" xfId="5" applyFont="1" applyBorder="1"/>
    <xf numFmtId="0" fontId="32" fillId="0" borderId="2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3" fontId="32" fillId="0" borderId="1" xfId="0" applyNumberFormat="1" applyFont="1" applyBorder="1" applyAlignment="1">
      <alignment horizontal="right"/>
    </xf>
    <xf numFmtId="0" fontId="32" fillId="0" borderId="0" xfId="0" applyFont="1" applyAlignment="1">
      <alignment horizontal="center"/>
    </xf>
    <xf numFmtId="0" fontId="27" fillId="0" borderId="1" xfId="0" applyFont="1" applyBorder="1"/>
    <xf numFmtId="3" fontId="27" fillId="0" borderId="1" xfId="0" applyNumberFormat="1" applyFont="1" applyBorder="1" applyAlignment="1">
      <alignment vertical="center"/>
    </xf>
    <xf numFmtId="0" fontId="27" fillId="0" borderId="0" xfId="0" applyFont="1"/>
    <xf numFmtId="0" fontId="32" fillId="0" borderId="36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1" xfId="5" applyFont="1" applyBorder="1" applyAlignment="1">
      <alignment vertical="center"/>
    </xf>
    <xf numFmtId="3" fontId="32" fillId="0" borderId="29" xfId="0" applyNumberFormat="1" applyFont="1" applyBorder="1"/>
    <xf numFmtId="0" fontId="32" fillId="0" borderId="9" xfId="5" applyFont="1" applyBorder="1" applyAlignment="1">
      <alignment vertical="center" wrapText="1"/>
    </xf>
    <xf numFmtId="3" fontId="32" fillId="0" borderId="9" xfId="0" applyNumberFormat="1" applyFont="1" applyBorder="1" applyAlignment="1">
      <alignment horizontal="right"/>
    </xf>
    <xf numFmtId="3" fontId="32" fillId="0" borderId="30" xfId="0" applyNumberFormat="1" applyFont="1" applyBorder="1"/>
    <xf numFmtId="3" fontId="32" fillId="0" borderId="0" xfId="0" applyNumberFormat="1" applyFont="1"/>
    <xf numFmtId="0" fontId="32" fillId="0" borderId="1" xfId="5" applyFont="1" applyBorder="1" applyAlignment="1">
      <alignment vertical="center" wrapText="1"/>
    </xf>
    <xf numFmtId="0" fontId="27" fillId="0" borderId="38" xfId="0" applyFont="1" applyBorder="1"/>
    <xf numFmtId="3" fontId="27" fillId="0" borderId="38" xfId="0" applyNumberFormat="1" applyFont="1" applyBorder="1" applyAlignment="1">
      <alignment horizontal="right"/>
    </xf>
    <xf numFmtId="3" fontId="32" fillId="0" borderId="39" xfId="0" applyNumberFormat="1" applyFont="1" applyBorder="1"/>
    <xf numFmtId="0" fontId="21" fillId="0" borderId="0" xfId="1" applyFont="1" applyAlignment="1">
      <alignment horizontal="center"/>
    </xf>
    <xf numFmtId="1" fontId="21" fillId="0" borderId="0" xfId="1" applyNumberFormat="1" applyFont="1"/>
    <xf numFmtId="0" fontId="21" fillId="0" borderId="0" xfId="1" applyFont="1"/>
    <xf numFmtId="165" fontId="21" fillId="0" borderId="0" xfId="1" applyNumberFormat="1" applyFont="1"/>
    <xf numFmtId="0" fontId="21" fillId="0" borderId="1" xfId="1" applyFont="1" applyBorder="1" applyAlignment="1">
      <alignment horizontal="center"/>
    </xf>
    <xf numFmtId="0" fontId="24" fillId="0" borderId="1" xfId="1" applyFont="1" applyBorder="1" applyAlignment="1">
      <alignment horizontal="center"/>
    </xf>
    <xf numFmtId="0" fontId="25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wrapText="1"/>
    </xf>
    <xf numFmtId="0" fontId="27" fillId="0" borderId="1" xfId="1" applyFont="1" applyBorder="1" applyAlignment="1">
      <alignment horizontal="center" vertical="center"/>
    </xf>
    <xf numFmtId="0" fontId="26" fillId="0" borderId="1" xfId="1" applyFont="1" applyBorder="1" applyAlignment="1">
      <alignment horizontal="center"/>
    </xf>
    <xf numFmtId="165" fontId="28" fillId="0" borderId="1" xfId="1" applyNumberFormat="1" applyFont="1" applyBorder="1" applyAlignment="1">
      <alignment horizontal="center" vertical="center" wrapText="1"/>
    </xf>
    <xf numFmtId="0" fontId="28" fillId="0" borderId="0" xfId="1" applyFont="1"/>
    <xf numFmtId="0" fontId="15" fillId="0" borderId="1" xfId="1" applyFont="1" applyBorder="1" applyAlignment="1">
      <alignment vertical="center"/>
    </xf>
    <xf numFmtId="3" fontId="15" fillId="0" borderId="1" xfId="2" applyNumberFormat="1" applyFont="1" applyFill="1" applyBorder="1" applyAlignment="1">
      <alignment vertical="center"/>
    </xf>
    <xf numFmtId="3" fontId="15" fillId="0" borderId="1" xfId="2" applyNumberFormat="1" applyFont="1" applyFill="1" applyBorder="1" applyAlignment="1">
      <alignment horizontal="right" vertical="center"/>
    </xf>
    <xf numFmtId="165" fontId="15" fillId="0" borderId="1" xfId="2" applyNumberFormat="1" applyFont="1" applyFill="1" applyBorder="1" applyAlignment="1">
      <alignment vertical="center"/>
    </xf>
    <xf numFmtId="1" fontId="15" fillId="0" borderId="1" xfId="2" applyNumberFormat="1" applyFont="1" applyFill="1" applyBorder="1" applyAlignment="1">
      <alignment vertical="center"/>
    </xf>
    <xf numFmtId="3" fontId="28" fillId="0" borderId="1" xfId="1" applyNumberFormat="1" applyFont="1" applyBorder="1" applyAlignment="1">
      <alignment horizontal="right" vertical="center"/>
    </xf>
    <xf numFmtId="3" fontId="21" fillId="0" borderId="0" xfId="1" applyNumberFormat="1" applyFont="1"/>
    <xf numFmtId="0" fontId="21" fillId="0" borderId="1" xfId="1" applyFont="1" applyBorder="1"/>
    <xf numFmtId="3" fontId="21" fillId="0" borderId="1" xfId="1" applyNumberFormat="1" applyFont="1" applyBorder="1"/>
    <xf numFmtId="1" fontId="21" fillId="0" borderId="1" xfId="1" applyNumberFormat="1" applyFont="1" applyBorder="1"/>
    <xf numFmtId="3" fontId="21" fillId="0" borderId="1" xfId="1" applyNumberFormat="1" applyFont="1" applyBorder="1" applyAlignment="1">
      <alignment horizontal="right" vertical="center"/>
    </xf>
    <xf numFmtId="3" fontId="28" fillId="0" borderId="0" xfId="1" applyNumberFormat="1" applyFont="1" applyAlignment="1">
      <alignment horizontal="right" vertical="center" wrapText="1"/>
    </xf>
    <xf numFmtId="0" fontId="28" fillId="0" borderId="1" xfId="1" applyFont="1" applyBorder="1" applyAlignment="1">
      <alignment vertical="center"/>
    </xf>
    <xf numFmtId="3" fontId="29" fillId="0" borderId="1" xfId="1" applyNumberFormat="1" applyFont="1" applyBorder="1" applyAlignment="1">
      <alignment vertical="center"/>
    </xf>
    <xf numFmtId="0" fontId="21" fillId="0" borderId="1" xfId="1" applyFont="1" applyBorder="1" applyAlignment="1">
      <alignment vertical="center"/>
    </xf>
    <xf numFmtId="3" fontId="15" fillId="0" borderId="1" xfId="1" applyNumberFormat="1" applyFont="1" applyBorder="1" applyAlignment="1">
      <alignment vertical="center"/>
    </xf>
    <xf numFmtId="1" fontId="15" fillId="0" borderId="1" xfId="1" applyNumberFormat="1" applyFont="1" applyBorder="1" applyAlignment="1">
      <alignment vertical="center"/>
    </xf>
    <xf numFmtId="164" fontId="21" fillId="0" borderId="1" xfId="2" applyFont="1" applyFill="1" applyBorder="1" applyAlignment="1">
      <alignment vertical="center"/>
    </xf>
    <xf numFmtId="3" fontId="29" fillId="0" borderId="9" xfId="1" applyNumberFormat="1" applyFont="1" applyBorder="1" applyAlignment="1">
      <alignment vertical="center"/>
    </xf>
    <xf numFmtId="0" fontId="28" fillId="0" borderId="1" xfId="1" applyFont="1" applyBorder="1"/>
    <xf numFmtId="3" fontId="28" fillId="0" borderId="1" xfId="1" applyNumberFormat="1" applyFont="1" applyBorder="1"/>
    <xf numFmtId="165" fontId="6" fillId="0" borderId="37" xfId="0" applyNumberFormat="1" applyFont="1" applyBorder="1" applyAlignment="1">
      <alignment horizontal="center" vertical="center" wrapText="1"/>
    </xf>
    <xf numFmtId="49" fontId="7" fillId="0" borderId="42" xfId="0" applyNumberFormat="1" applyFont="1" applyBorder="1" applyAlignment="1">
      <alignment horizontal="center"/>
    </xf>
    <xf numFmtId="3" fontId="7" fillId="0" borderId="43" xfId="0" applyNumberFormat="1" applyFont="1" applyBorder="1"/>
    <xf numFmtId="3" fontId="15" fillId="0" borderId="1" xfId="5" applyNumberFormat="1" applyFont="1" applyBorder="1" applyAlignment="1">
      <alignment horizontal="right" vertical="center" wrapText="1"/>
    </xf>
    <xf numFmtId="0" fontId="25" fillId="0" borderId="1" xfId="5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/>
    </xf>
    <xf numFmtId="0" fontId="21" fillId="0" borderId="18" xfId="5" applyFont="1" applyBorder="1" applyAlignment="1">
      <alignment horizontal="center"/>
    </xf>
    <xf numFmtId="0" fontId="28" fillId="0" borderId="16" xfId="5" applyFont="1" applyBorder="1" applyAlignment="1">
      <alignment horizontal="center" vertical="center" wrapText="1"/>
    </xf>
    <xf numFmtId="0" fontId="28" fillId="0" borderId="22" xfId="5" applyFont="1" applyBorder="1" applyAlignment="1">
      <alignment horizontal="center" vertical="center" wrapText="1"/>
    </xf>
    <xf numFmtId="0" fontId="28" fillId="0" borderId="16" xfId="5" applyFont="1" applyBorder="1" applyAlignment="1">
      <alignment horizontal="center"/>
    </xf>
    <xf numFmtId="0" fontId="28" fillId="0" borderId="22" xfId="5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165" fontId="21" fillId="0" borderId="0" xfId="1" applyNumberFormat="1" applyFont="1" applyAlignment="1">
      <alignment horizontal="right"/>
    </xf>
    <xf numFmtId="0" fontId="25" fillId="0" borderId="1" xfId="1" applyFont="1" applyBorder="1" applyAlignment="1">
      <alignment horizontal="center" vertical="center" wrapText="1"/>
    </xf>
    <xf numFmtId="165" fontId="28" fillId="0" borderId="16" xfId="1" applyNumberFormat="1" applyFont="1" applyBorder="1" applyAlignment="1">
      <alignment horizontal="center" vertical="center" wrapText="1"/>
    </xf>
    <xf numFmtId="165" fontId="28" fillId="0" borderId="22" xfId="1" applyNumberFormat="1" applyFont="1" applyBorder="1" applyAlignment="1">
      <alignment horizontal="center" vertical="center" wrapText="1"/>
    </xf>
    <xf numFmtId="165" fontId="28" fillId="0" borderId="1" xfId="1" applyNumberFormat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 wrapText="1"/>
    </xf>
    <xf numFmtId="0" fontId="25" fillId="0" borderId="22" xfId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wrapText="1"/>
    </xf>
    <xf numFmtId="0" fontId="9" fillId="0" borderId="18" xfId="5" applyFont="1" applyBorder="1" applyAlignment="1">
      <alignment horizontal="right"/>
    </xf>
    <xf numFmtId="0" fontId="20" fillId="0" borderId="1" xfId="5" applyFont="1" applyBorder="1" applyAlignment="1">
      <alignment horizontal="center" vertical="center" wrapText="1"/>
    </xf>
    <xf numFmtId="0" fontId="18" fillId="0" borderId="0" xfId="5" applyFont="1" applyAlignment="1">
      <alignment horizontal="center" vertical="center" wrapText="1"/>
    </xf>
    <xf numFmtId="0" fontId="18" fillId="0" borderId="25" xfId="5" applyFont="1" applyBorder="1" applyAlignment="1">
      <alignment horizontal="center" vertical="center" wrapText="1"/>
    </xf>
    <xf numFmtId="0" fontId="28" fillId="0" borderId="1" xfId="5" applyFont="1" applyBorder="1" applyAlignment="1">
      <alignment horizontal="center" vertical="center"/>
    </xf>
    <xf numFmtId="0" fontId="28" fillId="0" borderId="1" xfId="5" applyFont="1" applyBorder="1" applyAlignment="1">
      <alignment horizontal="center" vertical="center" wrapText="1"/>
    </xf>
    <xf numFmtId="0" fontId="25" fillId="0" borderId="0" xfId="5" applyFont="1" applyAlignment="1">
      <alignment horizontal="center" vertical="center"/>
    </xf>
    <xf numFmtId="0" fontId="25" fillId="0" borderId="25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/>
    </xf>
    <xf numFmtId="0" fontId="18" fillId="0" borderId="0" xfId="5" applyFont="1" applyAlignment="1">
      <alignment horizontal="center" vertical="center"/>
    </xf>
    <xf numFmtId="0" fontId="3" fillId="0" borderId="0" xfId="5" applyFont="1" applyAlignment="1">
      <alignment horizontal="right"/>
    </xf>
    <xf numFmtId="0" fontId="4" fillId="0" borderId="0" xfId="5" applyAlignment="1">
      <alignment horizontal="right"/>
    </xf>
    <xf numFmtId="0" fontId="13" fillId="0" borderId="23" xfId="5" applyFont="1" applyBorder="1" applyAlignment="1">
      <alignment horizontal="center"/>
    </xf>
    <xf numFmtId="0" fontId="13" fillId="0" borderId="0" xfId="5" applyFont="1" applyAlignment="1">
      <alignment horizontal="center"/>
    </xf>
    <xf numFmtId="0" fontId="13" fillId="0" borderId="25" xfId="5" applyFont="1" applyBorder="1" applyAlignment="1">
      <alignment horizontal="center"/>
    </xf>
    <xf numFmtId="0" fontId="13" fillId="0" borderId="16" xfId="5" applyFont="1" applyBorder="1" applyAlignment="1">
      <alignment horizontal="center"/>
    </xf>
    <xf numFmtId="0" fontId="13" fillId="0" borderId="22" xfId="5" applyFont="1" applyBorder="1" applyAlignment="1">
      <alignment horizontal="center"/>
    </xf>
    <xf numFmtId="0" fontId="30" fillId="0" borderId="16" xfId="5" applyFont="1" applyBorder="1" applyAlignment="1">
      <alignment horizontal="center" vertical="center" wrapText="1"/>
    </xf>
    <xf numFmtId="0" fontId="30" fillId="0" borderId="22" xfId="5" applyFont="1" applyBorder="1" applyAlignment="1">
      <alignment horizontal="center" vertical="center" wrapText="1"/>
    </xf>
    <xf numFmtId="0" fontId="30" fillId="0" borderId="1" xfId="5" applyFont="1" applyBorder="1" applyAlignment="1">
      <alignment horizontal="center" vertical="center" wrapText="1"/>
    </xf>
    <xf numFmtId="0" fontId="11" fillId="0" borderId="22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13" fillId="0" borderId="16" xfId="5" applyFont="1" applyBorder="1" applyAlignment="1">
      <alignment horizontal="center" vertical="center" wrapText="1"/>
    </xf>
    <xf numFmtId="0" fontId="13" fillId="0" borderId="22" xfId="5" applyFont="1" applyBorder="1" applyAlignment="1">
      <alignment horizontal="center" vertical="center" wrapText="1"/>
    </xf>
    <xf numFmtId="0" fontId="13" fillId="0" borderId="15" xfId="5" applyFont="1" applyBorder="1" applyAlignment="1">
      <alignment horizontal="center" vertical="center" wrapText="1"/>
    </xf>
    <xf numFmtId="0" fontId="13" fillId="0" borderId="18" xfId="5" applyFont="1" applyBorder="1" applyAlignment="1">
      <alignment horizontal="center" vertical="center" wrapText="1"/>
    </xf>
    <xf numFmtId="0" fontId="13" fillId="0" borderId="24" xfId="5" applyFont="1" applyBorder="1" applyAlignment="1">
      <alignment horizontal="center" vertical="center" wrapText="1"/>
    </xf>
    <xf numFmtId="0" fontId="11" fillId="0" borderId="16" xfId="5" applyFont="1" applyBorder="1" applyAlignment="1">
      <alignment horizontal="center" vertical="center"/>
    </xf>
    <xf numFmtId="0" fontId="11" fillId="0" borderId="22" xfId="5" applyFont="1" applyBorder="1" applyAlignment="1">
      <alignment horizontal="center" vertical="center"/>
    </xf>
    <xf numFmtId="0" fontId="11" fillId="0" borderId="23" xfId="5" applyFont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11" fillId="0" borderId="25" xfId="5" applyFont="1" applyBorder="1" applyAlignment="1">
      <alignment horizontal="center" vertical="center"/>
    </xf>
    <xf numFmtId="0" fontId="21" fillId="0" borderId="18" xfId="5" applyFont="1" applyBorder="1" applyAlignment="1">
      <alignment horizontal="right"/>
    </xf>
    <xf numFmtId="0" fontId="25" fillId="0" borderId="23" xfId="5" applyFont="1" applyBorder="1" applyAlignment="1">
      <alignment horizontal="center" vertical="center" wrapText="1"/>
    </xf>
    <xf numFmtId="0" fontId="25" fillId="0" borderId="0" xfId="5" applyFont="1" applyAlignment="1">
      <alignment horizontal="center" vertical="center" wrapText="1"/>
    </xf>
    <xf numFmtId="0" fontId="25" fillId="0" borderId="25" xfId="5" applyFont="1" applyBorder="1" applyAlignment="1">
      <alignment horizontal="center" vertical="center" wrapText="1"/>
    </xf>
    <xf numFmtId="0" fontId="25" fillId="0" borderId="18" xfId="5" applyFont="1" applyBorder="1" applyAlignment="1">
      <alignment horizontal="center" vertical="center" wrapText="1"/>
    </xf>
    <xf numFmtId="0" fontId="25" fillId="0" borderId="24" xfId="5" applyFont="1" applyBorder="1" applyAlignment="1">
      <alignment horizontal="center" vertical="center" wrapText="1"/>
    </xf>
    <xf numFmtId="0" fontId="21" fillId="0" borderId="0" xfId="5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0" fontId="28" fillId="0" borderId="1" xfId="5" applyFont="1" applyBorder="1" applyAlignment="1">
      <alignment horizontal="center" wrapText="1"/>
    </xf>
    <xf numFmtId="0" fontId="21" fillId="2" borderId="18" xfId="5" applyFont="1" applyFill="1" applyBorder="1" applyAlignment="1">
      <alignment horizontal="right"/>
    </xf>
    <xf numFmtId="0" fontId="25" fillId="2" borderId="0" xfId="5" applyFont="1" applyFill="1" applyAlignment="1">
      <alignment horizontal="center" vertical="center" wrapText="1"/>
    </xf>
    <xf numFmtId="0" fontId="25" fillId="2" borderId="25" xfId="5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28" fillId="2" borderId="1" xfId="5" applyFont="1" applyFill="1" applyBorder="1" applyAlignment="1">
      <alignment horizontal="center" vertical="center"/>
    </xf>
    <xf numFmtId="0" fontId="28" fillId="2" borderId="1" xfId="5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32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6" fillId="0" borderId="36" xfId="0" applyFont="1" applyBorder="1" applyAlignment="1">
      <alignment horizontal="center" wrapText="1"/>
    </xf>
    <xf numFmtId="0" fontId="6" fillId="0" borderId="4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41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1" fillId="0" borderId="0" xfId="5" applyFont="1" applyAlignment="1">
      <alignment horizontal="right"/>
    </xf>
  </cellXfs>
  <cellStyles count="8">
    <cellStyle name="Ezres 2" xfId="2" xr:uid="{00000000-0005-0000-0000-000000000000}"/>
    <cellStyle name="Ezres 3" xfId="6" xr:uid="{00000000-0005-0000-0000-000001000000}"/>
    <cellStyle name="Normál" xfId="0" builtinId="0"/>
    <cellStyle name="Normál 2" xfId="1" xr:uid="{00000000-0005-0000-0000-000003000000}"/>
    <cellStyle name="Normál 3" xfId="3" xr:uid="{00000000-0005-0000-0000-000004000000}"/>
    <cellStyle name="Normál 4" xfId="5" xr:uid="{00000000-0005-0000-0000-000005000000}"/>
    <cellStyle name="Normál 5" xfId="7" xr:uid="{00000000-0005-0000-0000-000006000000}"/>
    <cellStyle name="Százalék 2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131"/>
  <sheetViews>
    <sheetView workbookViewId="0">
      <selection activeCell="B1" sqref="B1:E1"/>
    </sheetView>
  </sheetViews>
  <sheetFormatPr defaultRowHeight="15.75" x14ac:dyDescent="0.25"/>
  <cols>
    <col min="1" max="1" width="9.140625" style="2"/>
    <col min="2" max="2" width="7.5703125" style="12" customWidth="1"/>
    <col min="3" max="3" width="64.28515625" style="2" customWidth="1"/>
    <col min="4" max="4" width="17.28515625" style="71" customWidth="1"/>
    <col min="5" max="5" width="16.5703125" style="71" customWidth="1"/>
    <col min="6" max="6" width="16.28515625" style="2" bestFit="1" customWidth="1"/>
    <col min="7" max="7" width="12.140625" style="2" bestFit="1" customWidth="1"/>
    <col min="8" max="16384" width="9.140625" style="2"/>
  </cols>
  <sheetData>
    <row r="1" spans="1:6" x14ac:dyDescent="0.25">
      <c r="B1" s="316" t="s">
        <v>605</v>
      </c>
      <c r="C1" s="316"/>
      <c r="D1" s="316"/>
      <c r="E1" s="316"/>
    </row>
    <row r="2" spans="1:6" s="1" customFormat="1" x14ac:dyDescent="0.25">
      <c r="A2" s="315" t="s">
        <v>0</v>
      </c>
      <c r="B2" s="315"/>
      <c r="C2" s="315"/>
      <c r="D2" s="315"/>
      <c r="E2" s="315"/>
    </row>
    <row r="3" spans="1:6" s="1" customFormat="1" x14ac:dyDescent="0.25">
      <c r="A3" s="315" t="s">
        <v>554</v>
      </c>
      <c r="B3" s="315"/>
      <c r="C3" s="315"/>
      <c r="D3" s="315"/>
      <c r="E3" s="315"/>
    </row>
    <row r="4" spans="1:6" s="1" customFormat="1" x14ac:dyDescent="0.25">
      <c r="A4" s="315" t="s">
        <v>1</v>
      </c>
      <c r="B4" s="315"/>
      <c r="C4" s="315"/>
      <c r="D4" s="315"/>
      <c r="E4" s="315"/>
    </row>
    <row r="5" spans="1:6" s="1" customFormat="1" ht="16.5" thickBot="1" x14ac:dyDescent="0.3">
      <c r="B5" s="18"/>
      <c r="D5" s="69"/>
      <c r="E5" s="70"/>
    </row>
    <row r="6" spans="1:6" s="3" customFormat="1" ht="16.5" thickBot="1" x14ac:dyDescent="0.3">
      <c r="B6" s="5" t="s">
        <v>147</v>
      </c>
      <c r="C6" s="6" t="s">
        <v>170</v>
      </c>
      <c r="D6" s="76" t="s">
        <v>148</v>
      </c>
      <c r="E6" s="84" t="s">
        <v>149</v>
      </c>
    </row>
    <row r="7" spans="1:6" s="1" customFormat="1" ht="32.25" thickBot="1" x14ac:dyDescent="0.3">
      <c r="B7" s="7" t="s">
        <v>4</v>
      </c>
      <c r="C7" s="6" t="s">
        <v>2</v>
      </c>
      <c r="D7" s="77" t="s">
        <v>539</v>
      </c>
      <c r="E7" s="85" t="s">
        <v>540</v>
      </c>
    </row>
    <row r="8" spans="1:6" s="1" customFormat="1" ht="16.5" thickBot="1" x14ac:dyDescent="0.3">
      <c r="B8" s="14" t="s">
        <v>3</v>
      </c>
      <c r="C8" s="74" t="s">
        <v>16</v>
      </c>
      <c r="D8" s="117">
        <f>SUM(D9:D14)</f>
        <v>934726324</v>
      </c>
      <c r="E8" s="118">
        <f>SUM(E9:E14)</f>
        <v>807430467</v>
      </c>
      <c r="F8" s="192"/>
    </row>
    <row r="9" spans="1:6" x14ac:dyDescent="0.25">
      <c r="B9" s="15" t="s">
        <v>6</v>
      </c>
      <c r="C9" s="8" t="s">
        <v>397</v>
      </c>
      <c r="D9" s="119">
        <f>'7.Önk bev.'!I13</f>
        <v>162189157</v>
      </c>
      <c r="E9" s="119">
        <f>'7.Önk bev.'!J13</f>
        <v>179250857</v>
      </c>
      <c r="F9" s="192"/>
    </row>
    <row r="10" spans="1:6" x14ac:dyDescent="0.25">
      <c r="B10" s="16" t="s">
        <v>7</v>
      </c>
      <c r="C10" s="4" t="s">
        <v>398</v>
      </c>
      <c r="D10" s="120">
        <f>'7.Önk bev.'!I14</f>
        <v>159972470</v>
      </c>
      <c r="E10" s="120">
        <f>'7.Önk bev.'!J14</f>
        <v>191847139</v>
      </c>
      <c r="F10" s="192"/>
    </row>
    <row r="11" spans="1:6" x14ac:dyDescent="0.25">
      <c r="B11" s="16" t="s">
        <v>8</v>
      </c>
      <c r="C11" s="4" t="s">
        <v>399</v>
      </c>
      <c r="D11" s="120">
        <f>'7.Önk bev.'!I15+'7.Önk bev.'!I16+'7.Önk bev.'!I17+'7.Önk bev.'!I18</f>
        <v>192419780</v>
      </c>
      <c r="E11" s="120">
        <f>'7.Önk bev.'!J15+'7.Önk bev.'!J16+'7.Önk bev.'!J17+'7.Önk bev.'!J18</f>
        <v>234546793</v>
      </c>
      <c r="F11" s="192"/>
    </row>
    <row r="12" spans="1:6" x14ac:dyDescent="0.25">
      <c r="B12" s="16" t="s">
        <v>9</v>
      </c>
      <c r="C12" s="4" t="s">
        <v>400</v>
      </c>
      <c r="D12" s="120">
        <f>'7.Önk bev.'!I19</f>
        <v>12463522</v>
      </c>
      <c r="E12" s="120">
        <f>'7.Önk bev.'!J19</f>
        <v>12613522</v>
      </c>
      <c r="F12" s="192"/>
    </row>
    <row r="13" spans="1:6" x14ac:dyDescent="0.25">
      <c r="B13" s="16" t="s">
        <v>10</v>
      </c>
      <c r="C13" s="4" t="s">
        <v>401</v>
      </c>
      <c r="D13" s="120">
        <f>'7.Önk bev.'!I20</f>
        <v>399841367</v>
      </c>
      <c r="E13" s="120">
        <f>'7.Önk bev.'!J20</f>
        <v>179616145</v>
      </c>
      <c r="F13" s="192"/>
    </row>
    <row r="14" spans="1:6" ht="16.5" thickBot="1" x14ac:dyDescent="0.3">
      <c r="B14" s="17" t="s">
        <v>11</v>
      </c>
      <c r="C14" s="10" t="s">
        <v>403</v>
      </c>
      <c r="D14" s="122">
        <f>'7.Önk bev.'!I21</f>
        <v>7840028</v>
      </c>
      <c r="E14" s="122">
        <f>'7.Önk bev.'!J21</f>
        <v>9556011</v>
      </c>
      <c r="F14" s="192"/>
    </row>
    <row r="15" spans="1:6" s="1" customFormat="1" ht="16.5" thickBot="1" x14ac:dyDescent="0.3">
      <c r="B15" s="14" t="s">
        <v>5</v>
      </c>
      <c r="C15" s="9" t="s">
        <v>39</v>
      </c>
      <c r="D15" s="117">
        <f>SUM(D16:D17)</f>
        <v>102194590</v>
      </c>
      <c r="E15" s="118">
        <f>SUM(E16:E17)</f>
        <v>130336926</v>
      </c>
      <c r="F15" s="192"/>
    </row>
    <row r="16" spans="1:6" x14ac:dyDescent="0.25">
      <c r="B16" s="15" t="s">
        <v>12</v>
      </c>
      <c r="C16" s="8" t="s">
        <v>36</v>
      </c>
      <c r="D16" s="119"/>
      <c r="E16" s="121"/>
      <c r="F16" s="192"/>
    </row>
    <row r="17" spans="2:6" x14ac:dyDescent="0.25">
      <c r="B17" s="16" t="s">
        <v>13</v>
      </c>
      <c r="C17" s="4" t="s">
        <v>394</v>
      </c>
      <c r="D17" s="120">
        <f>'7.Önk bev.'!M44</f>
        <v>102194590</v>
      </c>
      <c r="E17" s="120">
        <f>'7.Önk bev.'!N61</f>
        <v>130336926</v>
      </c>
      <c r="F17" s="192"/>
    </row>
    <row r="18" spans="2:6" ht="16.5" thickBot="1" x14ac:dyDescent="0.3">
      <c r="B18" s="17" t="s">
        <v>14</v>
      </c>
      <c r="C18" s="10" t="s">
        <v>38</v>
      </c>
      <c r="D18" s="122"/>
      <c r="E18" s="121"/>
      <c r="F18" s="192"/>
    </row>
    <row r="19" spans="2:6" s="1" customFormat="1" ht="16.5" thickBot="1" x14ac:dyDescent="0.3">
      <c r="B19" s="14" t="s">
        <v>15</v>
      </c>
      <c r="C19" s="9" t="s">
        <v>43</v>
      </c>
      <c r="D19" s="117">
        <f>SUM(D20:D21)</f>
        <v>696302361</v>
      </c>
      <c r="E19" s="118">
        <f>SUM(E20:E21)</f>
        <v>231918360</v>
      </c>
      <c r="F19" s="192"/>
    </row>
    <row r="20" spans="2:6" x14ac:dyDescent="0.25">
      <c r="B20" s="15" t="s">
        <v>17</v>
      </c>
      <c r="C20" s="8" t="s">
        <v>396</v>
      </c>
      <c r="D20" s="119"/>
      <c r="E20" s="119"/>
      <c r="F20" s="192"/>
    </row>
    <row r="21" spans="2:6" x14ac:dyDescent="0.25">
      <c r="B21" s="16" t="s">
        <v>18</v>
      </c>
      <c r="C21" s="4" t="s">
        <v>390</v>
      </c>
      <c r="D21" s="120">
        <f>'7.Önk bev.'!O44</f>
        <v>696302361</v>
      </c>
      <c r="E21" s="120">
        <f>'7.Önk bev.'!P44</f>
        <v>231918360</v>
      </c>
      <c r="F21" s="192"/>
    </row>
    <row r="22" spans="2:6" ht="16.5" thickBot="1" x14ac:dyDescent="0.3">
      <c r="B22" s="17" t="s">
        <v>19</v>
      </c>
      <c r="C22" s="10" t="s">
        <v>42</v>
      </c>
      <c r="D22" s="122"/>
      <c r="E22" s="122"/>
      <c r="F22" s="192"/>
    </row>
    <row r="23" spans="2:6" s="1" customFormat="1" ht="16.5" thickBot="1" x14ac:dyDescent="0.3">
      <c r="B23" s="14" t="s">
        <v>20</v>
      </c>
      <c r="C23" s="9" t="s">
        <v>21</v>
      </c>
      <c r="D23" s="117">
        <f>D24</f>
        <v>198157000</v>
      </c>
      <c r="E23" s="117">
        <f>E24</f>
        <v>178576886</v>
      </c>
      <c r="F23" s="192"/>
    </row>
    <row r="24" spans="2:6" x14ac:dyDescent="0.25">
      <c r="B24" s="15" t="s">
        <v>22</v>
      </c>
      <c r="C24" s="8" t="s">
        <v>44</v>
      </c>
      <c r="D24" s="119">
        <f>SUM(D25:D31)</f>
        <v>198157000</v>
      </c>
      <c r="E24" s="119">
        <f>SUM(E25:E31)</f>
        <v>178576886</v>
      </c>
      <c r="F24" s="192"/>
    </row>
    <row r="25" spans="2:6" x14ac:dyDescent="0.25">
      <c r="B25" s="16" t="s">
        <v>23</v>
      </c>
      <c r="C25" s="4" t="s">
        <v>395</v>
      </c>
      <c r="D25" s="120">
        <f>'7.Önk bev.'!G7</f>
        <v>180000</v>
      </c>
      <c r="E25" s="120">
        <f>'7.Önk bev.'!H7</f>
        <v>141894</v>
      </c>
      <c r="F25" s="192"/>
    </row>
    <row r="26" spans="2:6" x14ac:dyDescent="0.25">
      <c r="B26" s="16" t="s">
        <v>24</v>
      </c>
      <c r="C26" s="4" t="s">
        <v>46</v>
      </c>
      <c r="D26" s="120">
        <f>'7.Önk bev.'!G6</f>
        <v>170000000</v>
      </c>
      <c r="E26" s="120">
        <f>'7.Önk bev.'!H6</f>
        <v>156029408</v>
      </c>
      <c r="F26" s="192"/>
    </row>
    <row r="27" spans="2:6" x14ac:dyDescent="0.25">
      <c r="B27" s="16" t="s">
        <v>26</v>
      </c>
      <c r="C27" s="4" t="s">
        <v>528</v>
      </c>
      <c r="D27" s="120">
        <f>'7.Önk bev.'!G12</f>
        <v>25000000</v>
      </c>
      <c r="E27" s="120">
        <f>'7.Önk bev.'!H12</f>
        <v>19401860</v>
      </c>
      <c r="F27" s="192"/>
    </row>
    <row r="28" spans="2:6" x14ac:dyDescent="0.25">
      <c r="B28" s="16" t="s">
        <v>27</v>
      </c>
      <c r="C28" s="4" t="s">
        <v>527</v>
      </c>
      <c r="D28" s="120">
        <f>'7.Önk bev.'!G11</f>
        <v>88000</v>
      </c>
      <c r="E28" s="120">
        <f>'7.Önk bev.'!H11</f>
        <v>111600</v>
      </c>
      <c r="F28" s="192"/>
    </row>
    <row r="29" spans="2:6" x14ac:dyDescent="0.25">
      <c r="B29" s="17" t="s">
        <v>28</v>
      </c>
      <c r="C29" s="4" t="s">
        <v>206</v>
      </c>
      <c r="D29" s="120">
        <f>'7.Önk bev.'!G8</f>
        <v>1930000</v>
      </c>
      <c r="E29" s="120">
        <f>'7.Önk bev.'!H8</f>
        <v>1445704</v>
      </c>
      <c r="F29" s="192"/>
    </row>
    <row r="30" spans="2:6" x14ac:dyDescent="0.25">
      <c r="B30" s="17" t="s">
        <v>555</v>
      </c>
      <c r="C30" s="10" t="s">
        <v>49</v>
      </c>
      <c r="D30" s="120">
        <f>'7.Önk bev.'!G9</f>
        <v>10000</v>
      </c>
      <c r="E30" s="120">
        <f>'7.Önk bev.'!H9</f>
        <v>0</v>
      </c>
      <c r="F30" s="192"/>
    </row>
    <row r="31" spans="2:6" ht="16.5" thickBot="1" x14ac:dyDescent="0.3">
      <c r="B31" s="17" t="s">
        <v>556</v>
      </c>
      <c r="C31" s="10" t="s">
        <v>402</v>
      </c>
      <c r="D31" s="122">
        <f>'7.Önk bev.'!G10</f>
        <v>949000</v>
      </c>
      <c r="E31" s="122">
        <f>'7.Önk bev.'!H10</f>
        <v>1446420</v>
      </c>
      <c r="F31" s="192"/>
    </row>
    <row r="32" spans="2:6" s="1" customFormat="1" ht="16.5" thickBot="1" x14ac:dyDescent="0.3">
      <c r="B32" s="14" t="s">
        <v>29</v>
      </c>
      <c r="C32" s="9" t="s">
        <v>392</v>
      </c>
      <c r="D32" s="117">
        <f>'7.Önk bev.'!E61</f>
        <v>106740811</v>
      </c>
      <c r="E32" s="117">
        <f>'7.Önk bev.'!F66</f>
        <v>118934767</v>
      </c>
      <c r="F32" s="192"/>
    </row>
    <row r="33" spans="2:6" s="1" customFormat="1" ht="16.5" thickBot="1" x14ac:dyDescent="0.3">
      <c r="B33" s="19" t="s">
        <v>51</v>
      </c>
      <c r="C33" s="20" t="s">
        <v>52</v>
      </c>
      <c r="D33" s="124">
        <f>'7.Önk bev.'!S66</f>
        <v>0</v>
      </c>
      <c r="E33" s="118">
        <f>'7.Önk bev.'!T66</f>
        <v>1614961</v>
      </c>
      <c r="F33" s="192"/>
    </row>
    <row r="34" spans="2:6" s="1" customFormat="1" ht="16.5" thickBot="1" x14ac:dyDescent="0.3">
      <c r="B34" s="14" t="s">
        <v>53</v>
      </c>
      <c r="C34" s="9" t="s">
        <v>159</v>
      </c>
      <c r="D34" s="117">
        <f>'7.Önk bev.'!Q66</f>
        <v>0</v>
      </c>
      <c r="E34" s="117">
        <f>'7.Önk bev.'!R61</f>
        <v>0</v>
      </c>
      <c r="F34" s="192"/>
    </row>
    <row r="35" spans="2:6" s="1" customFormat="1" ht="16.5" thickBot="1" x14ac:dyDescent="0.3">
      <c r="B35" s="14" t="s">
        <v>55</v>
      </c>
      <c r="C35" s="9" t="s">
        <v>56</v>
      </c>
      <c r="D35" s="117"/>
      <c r="E35" s="118"/>
      <c r="F35" s="192"/>
    </row>
    <row r="36" spans="2:6" s="1" customFormat="1" ht="16.5" thickBot="1" x14ac:dyDescent="0.3">
      <c r="B36" s="14" t="s">
        <v>57</v>
      </c>
      <c r="C36" s="9" t="s">
        <v>135</v>
      </c>
      <c r="D36" s="117">
        <f>D8+D15+D19+D23+D32+D33+D34+D35</f>
        <v>2038121086</v>
      </c>
      <c r="E36" s="118">
        <f>E8+E15+E19+E23+E32+E33+E34+E35</f>
        <v>1468812367</v>
      </c>
      <c r="F36" s="192"/>
    </row>
    <row r="37" spans="2:6" s="1" customFormat="1" ht="16.5" thickBot="1" x14ac:dyDescent="0.3">
      <c r="B37" s="14" t="s">
        <v>58</v>
      </c>
      <c r="C37" s="9" t="s">
        <v>59</v>
      </c>
      <c r="D37" s="117">
        <f>SUM(D38:D40)</f>
        <v>50000000</v>
      </c>
      <c r="E37" s="118">
        <f>SUM(E38:E40)</f>
        <v>287692011</v>
      </c>
      <c r="F37" s="192"/>
    </row>
    <row r="38" spans="2:6" x14ac:dyDescent="0.25">
      <c r="B38" s="15" t="s">
        <v>60</v>
      </c>
      <c r="C38" s="8" t="s">
        <v>61</v>
      </c>
      <c r="D38" s="119"/>
      <c r="E38" s="119"/>
      <c r="F38" s="192"/>
    </row>
    <row r="39" spans="2:6" x14ac:dyDescent="0.25">
      <c r="B39" s="16" t="s">
        <v>62</v>
      </c>
      <c r="C39" s="4" t="s">
        <v>63</v>
      </c>
      <c r="D39" s="120">
        <f>'7.Önk bev.'!W37</f>
        <v>50000000</v>
      </c>
      <c r="E39" s="120">
        <f>'7.Önk bev.'!X37</f>
        <v>287692011</v>
      </c>
      <c r="F39" s="192"/>
    </row>
    <row r="40" spans="2:6" ht="16.5" thickBot="1" x14ac:dyDescent="0.3">
      <c r="B40" s="17" t="s">
        <v>64</v>
      </c>
      <c r="C40" s="10" t="s">
        <v>65</v>
      </c>
      <c r="D40" s="122"/>
      <c r="E40" s="122"/>
      <c r="F40" s="192"/>
    </row>
    <row r="41" spans="2:6" s="1" customFormat="1" ht="16.5" thickBot="1" x14ac:dyDescent="0.3">
      <c r="B41" s="14" t="s">
        <v>66</v>
      </c>
      <c r="C41" s="9" t="s">
        <v>67</v>
      </c>
      <c r="D41" s="117"/>
      <c r="E41" s="118"/>
      <c r="F41" s="192"/>
    </row>
    <row r="42" spans="2:6" s="1" customFormat="1" ht="16.5" thickBot="1" x14ac:dyDescent="0.3">
      <c r="B42" s="14" t="s">
        <v>68</v>
      </c>
      <c r="C42" s="9" t="s">
        <v>290</v>
      </c>
      <c r="D42" s="117">
        <f>'7.Önk bev.'!U66</f>
        <v>32875125</v>
      </c>
      <c r="E42" s="118">
        <f>'7.Önk bev.'!V61</f>
        <v>41500354</v>
      </c>
      <c r="F42" s="192"/>
    </row>
    <row r="43" spans="2:6" s="1" customFormat="1" ht="16.5" thickBot="1" x14ac:dyDescent="0.3">
      <c r="B43" s="14" t="s">
        <v>70</v>
      </c>
      <c r="C43" s="9" t="s">
        <v>71</v>
      </c>
      <c r="D43" s="117">
        <f>D44+D45</f>
        <v>0</v>
      </c>
      <c r="E43" s="118">
        <f>SUM(E44:E45)</f>
        <v>23097133</v>
      </c>
      <c r="F43" s="192"/>
    </row>
    <row r="44" spans="2:6" x14ac:dyDescent="0.25">
      <c r="B44" s="15" t="s">
        <v>72</v>
      </c>
      <c r="C44" s="8" t="s">
        <v>73</v>
      </c>
      <c r="D44" s="119"/>
      <c r="E44" s="63">
        <f>'7.Önk bev.'!X40</f>
        <v>23097133</v>
      </c>
      <c r="F44" s="192"/>
    </row>
    <row r="45" spans="2:6" ht="16.5" thickBot="1" x14ac:dyDescent="0.3">
      <c r="B45" s="17" t="s">
        <v>74</v>
      </c>
      <c r="C45" s="10" t="s">
        <v>75</v>
      </c>
      <c r="D45" s="122"/>
      <c r="E45" s="125"/>
      <c r="F45" s="192"/>
    </row>
    <row r="46" spans="2:6" s="1" customFormat="1" ht="16.5" thickBot="1" x14ac:dyDescent="0.3">
      <c r="B46" s="14" t="s">
        <v>76</v>
      </c>
      <c r="C46" s="9" t="s">
        <v>77</v>
      </c>
      <c r="D46" s="117"/>
      <c r="E46" s="118"/>
      <c r="F46" s="192"/>
    </row>
    <row r="47" spans="2:6" s="1" customFormat="1" ht="16.5" thickBot="1" x14ac:dyDescent="0.3">
      <c r="B47" s="14" t="s">
        <v>78</v>
      </c>
      <c r="C47" s="9" t="s">
        <v>81</v>
      </c>
      <c r="D47" s="117"/>
      <c r="E47" s="126"/>
      <c r="F47" s="192"/>
    </row>
    <row r="48" spans="2:6" s="1" customFormat="1" ht="16.5" thickBot="1" x14ac:dyDescent="0.3">
      <c r="B48" s="14" t="s">
        <v>154</v>
      </c>
      <c r="C48" s="9" t="s">
        <v>83</v>
      </c>
      <c r="D48" s="117">
        <f>D37+D41+D42+D43+D46+D47</f>
        <v>82875125</v>
      </c>
      <c r="E48" s="118">
        <f>E37+E41+E42+E43+E46+E47</f>
        <v>352289498</v>
      </c>
      <c r="F48" s="192"/>
    </row>
    <row r="49" spans="2:7" s="1" customFormat="1" ht="32.25" thickBot="1" x14ac:dyDescent="0.3">
      <c r="B49" s="14" t="s">
        <v>82</v>
      </c>
      <c r="C49" s="11" t="s">
        <v>85</v>
      </c>
      <c r="D49" s="117">
        <f>D36+D48</f>
        <v>2120996211</v>
      </c>
      <c r="E49" s="118">
        <f>E36+E48</f>
        <v>1821101865</v>
      </c>
      <c r="F49" s="192"/>
      <c r="G49" s="192"/>
    </row>
    <row r="50" spans="2:7" x14ac:dyDescent="0.25">
      <c r="F50" s="66"/>
    </row>
    <row r="51" spans="2:7" x14ac:dyDescent="0.25">
      <c r="B51" s="315" t="s">
        <v>86</v>
      </c>
      <c r="C51" s="315"/>
      <c r="D51" s="315"/>
    </row>
    <row r="52" spans="2:7" ht="16.5" thickBot="1" x14ac:dyDescent="0.3">
      <c r="B52" s="18" t="s">
        <v>87</v>
      </c>
      <c r="C52" s="1"/>
      <c r="D52" s="70"/>
    </row>
    <row r="53" spans="2:7" s="30" customFormat="1" ht="32.25" thickBot="1" x14ac:dyDescent="0.3">
      <c r="B53" s="7" t="s">
        <v>4</v>
      </c>
      <c r="C53" s="6" t="s">
        <v>88</v>
      </c>
      <c r="D53" s="77" t="s">
        <v>539</v>
      </c>
      <c r="E53" s="303" t="s">
        <v>540</v>
      </c>
    </row>
    <row r="54" spans="2:7" ht="16.5" thickBot="1" x14ac:dyDescent="0.3">
      <c r="B54" s="14" t="s">
        <v>3</v>
      </c>
      <c r="C54" s="74" t="s">
        <v>106</v>
      </c>
      <c r="D54" s="117">
        <f>D55+D56+D57+D58+D59+D65+D60</f>
        <v>1283767058.29</v>
      </c>
      <c r="E54" s="117">
        <f>E55+E56+E57+E58+E59+E65+E60</f>
        <v>1317154909</v>
      </c>
      <c r="F54" s="66"/>
    </row>
    <row r="55" spans="2:7" x14ac:dyDescent="0.25">
      <c r="B55" s="15" t="s">
        <v>6</v>
      </c>
      <c r="C55" s="8" t="s">
        <v>89</v>
      </c>
      <c r="D55" s="63">
        <f>'12.Önk kiad'!D80</f>
        <v>654058277</v>
      </c>
      <c r="E55" s="119">
        <f>'12.Önk kiad'!E80</f>
        <v>708957518</v>
      </c>
      <c r="F55" s="66"/>
    </row>
    <row r="56" spans="2:7" x14ac:dyDescent="0.25">
      <c r="B56" s="16" t="s">
        <v>7</v>
      </c>
      <c r="C56" s="4" t="s">
        <v>90</v>
      </c>
      <c r="D56" s="121">
        <f>'12.Önk kiad'!F80</f>
        <v>80079073.290000007</v>
      </c>
      <c r="E56" s="120">
        <f>'12.Önk kiad'!G80</f>
        <v>88325705</v>
      </c>
      <c r="F56" s="66"/>
    </row>
    <row r="57" spans="2:7" x14ac:dyDescent="0.25">
      <c r="B57" s="16" t="s">
        <v>8</v>
      </c>
      <c r="C57" s="4" t="s">
        <v>91</v>
      </c>
      <c r="D57" s="121">
        <f>'12.Önk kiad'!H80</f>
        <v>419347309</v>
      </c>
      <c r="E57" s="120">
        <f>'12.Önk kiad'!I80</f>
        <v>363606283</v>
      </c>
      <c r="F57" s="66"/>
    </row>
    <row r="58" spans="2:7" x14ac:dyDescent="0.25">
      <c r="B58" s="16" t="s">
        <v>9</v>
      </c>
      <c r="C58" s="4" t="s">
        <v>92</v>
      </c>
      <c r="D58" s="121">
        <f>'12.Önk kiad'!J80</f>
        <v>3900000</v>
      </c>
      <c r="E58" s="120">
        <f>'12.Önk kiad'!K80</f>
        <v>1942870</v>
      </c>
      <c r="F58" s="66"/>
    </row>
    <row r="59" spans="2:7" x14ac:dyDescent="0.25">
      <c r="B59" s="16" t="s">
        <v>10</v>
      </c>
      <c r="C59" s="4" t="s">
        <v>93</v>
      </c>
      <c r="D59" s="121">
        <f>'12.Önk kiad'!L80+'12.Önk kiad'!N80</f>
        <v>93551761</v>
      </c>
      <c r="E59" s="120">
        <f>'12.Önk kiad'!M80+'12.Önk kiad'!O80</f>
        <v>12526555</v>
      </c>
      <c r="F59" s="66"/>
    </row>
    <row r="60" spans="2:7" x14ac:dyDescent="0.25">
      <c r="B60" s="16" t="s">
        <v>11</v>
      </c>
      <c r="C60" s="23" t="s">
        <v>94</v>
      </c>
      <c r="D60" s="121">
        <f>'12.Önk kiad'!R80</f>
        <v>27830638</v>
      </c>
      <c r="E60" s="120">
        <f>'12.Önk kiad'!S80</f>
        <v>23622879</v>
      </c>
      <c r="F60" s="66"/>
    </row>
    <row r="61" spans="2:7" x14ac:dyDescent="0.25">
      <c r="B61" s="16" t="s">
        <v>95</v>
      </c>
      <c r="C61" s="4" t="s">
        <v>101</v>
      </c>
      <c r="D61" s="121"/>
      <c r="E61" s="120"/>
      <c r="F61" s="66"/>
    </row>
    <row r="62" spans="2:7" x14ac:dyDescent="0.25">
      <c r="B62" s="16" t="s">
        <v>96</v>
      </c>
      <c r="C62" s="4" t="s">
        <v>136</v>
      </c>
      <c r="D62" s="121">
        <v>16898319</v>
      </c>
      <c r="E62" s="120">
        <v>16898319</v>
      </c>
      <c r="F62" s="66"/>
    </row>
    <row r="63" spans="2:7" x14ac:dyDescent="0.25">
      <c r="B63" s="16" t="s">
        <v>97</v>
      </c>
      <c r="C63" s="4" t="s">
        <v>137</v>
      </c>
      <c r="D63" s="121"/>
      <c r="E63" s="120"/>
      <c r="F63" s="66"/>
    </row>
    <row r="64" spans="2:7" x14ac:dyDescent="0.25">
      <c r="B64" s="16" t="s">
        <v>98</v>
      </c>
      <c r="C64" s="4" t="s">
        <v>138</v>
      </c>
      <c r="D64" s="121"/>
      <c r="E64" s="120"/>
      <c r="F64" s="66"/>
    </row>
    <row r="65" spans="2:6" x14ac:dyDescent="0.25">
      <c r="B65" s="16" t="s">
        <v>99</v>
      </c>
      <c r="C65" s="4" t="s">
        <v>100</v>
      </c>
      <c r="D65" s="121">
        <f>'12.Önk kiad'!X80</f>
        <v>5000000</v>
      </c>
      <c r="E65" s="120">
        <f>'12.Önk kiad'!Y80</f>
        <v>118173099</v>
      </c>
      <c r="F65" s="66"/>
    </row>
    <row r="66" spans="2:6" x14ac:dyDescent="0.25">
      <c r="B66" s="16" t="s">
        <v>102</v>
      </c>
      <c r="C66" s="4" t="s">
        <v>103</v>
      </c>
      <c r="D66" s="121">
        <f>'12.Önk kiad'!X10</f>
        <v>5000000</v>
      </c>
      <c r="E66" s="120">
        <f>'12.Önk kiad'!Y10</f>
        <v>118173099</v>
      </c>
      <c r="F66" s="66"/>
    </row>
    <row r="67" spans="2:6" ht="16.5" thickBot="1" x14ac:dyDescent="0.3">
      <c r="B67" s="17" t="s">
        <v>104</v>
      </c>
      <c r="C67" s="10" t="s">
        <v>105</v>
      </c>
      <c r="D67" s="125"/>
      <c r="E67" s="120"/>
      <c r="F67" s="66"/>
    </row>
    <row r="68" spans="2:6" ht="16.5" thickBot="1" x14ac:dyDescent="0.3">
      <c r="B68" s="14" t="s">
        <v>5</v>
      </c>
      <c r="C68" s="74" t="s">
        <v>119</v>
      </c>
      <c r="D68" s="117">
        <f>D69+D71+D73</f>
        <v>753427390</v>
      </c>
      <c r="E68" s="118">
        <f>E69+E71+E73</f>
        <v>181737869</v>
      </c>
      <c r="F68" s="66"/>
    </row>
    <row r="69" spans="2:6" x14ac:dyDescent="0.25">
      <c r="B69" s="15" t="s">
        <v>12</v>
      </c>
      <c r="C69" s="8" t="s">
        <v>107</v>
      </c>
      <c r="D69" s="63">
        <f>'12.Önk kiad'!T80</f>
        <v>507485197</v>
      </c>
      <c r="E69" s="120">
        <f>'12.Önk kiad'!U80</f>
        <v>8302359</v>
      </c>
      <c r="F69" s="66"/>
    </row>
    <row r="70" spans="2:6" x14ac:dyDescent="0.25">
      <c r="B70" s="16" t="s">
        <v>108</v>
      </c>
      <c r="C70" s="4" t="s">
        <v>109</v>
      </c>
      <c r="D70" s="121"/>
      <c r="E70" s="120"/>
      <c r="F70" s="66"/>
    </row>
    <row r="71" spans="2:6" x14ac:dyDescent="0.25">
      <c r="B71" s="16" t="s">
        <v>14</v>
      </c>
      <c r="C71" s="4" t="s">
        <v>110</v>
      </c>
      <c r="D71" s="121">
        <f>'12.Önk kiad'!V80</f>
        <v>244315758</v>
      </c>
      <c r="E71" s="120">
        <f>'12.Önk kiad'!W80</f>
        <v>162244318</v>
      </c>
      <c r="F71" s="66"/>
    </row>
    <row r="72" spans="2:6" x14ac:dyDescent="0.25">
      <c r="B72" s="16" t="s">
        <v>111</v>
      </c>
      <c r="C72" s="4" t="s">
        <v>112</v>
      </c>
      <c r="D72" s="121"/>
      <c r="E72" s="120"/>
      <c r="F72" s="66"/>
    </row>
    <row r="73" spans="2:6" x14ac:dyDescent="0.25">
      <c r="B73" s="16" t="s">
        <v>113</v>
      </c>
      <c r="C73" s="4" t="s">
        <v>114</v>
      </c>
      <c r="D73" s="121">
        <f>'12.Önk kiad'!P80</f>
        <v>1626435</v>
      </c>
      <c r="E73" s="120">
        <f>'12.Önk kiad'!Q80</f>
        <v>11191192</v>
      </c>
      <c r="F73" s="66"/>
    </row>
    <row r="74" spans="2:6" x14ac:dyDescent="0.25">
      <c r="B74" s="16" t="s">
        <v>115</v>
      </c>
      <c r="C74" s="4" t="s">
        <v>116</v>
      </c>
      <c r="D74" s="121"/>
      <c r="E74" s="120"/>
      <c r="F74" s="66"/>
    </row>
    <row r="75" spans="2:6" ht="16.5" thickBot="1" x14ac:dyDescent="0.3">
      <c r="B75" s="17" t="s">
        <v>117</v>
      </c>
      <c r="C75" s="10" t="s">
        <v>118</v>
      </c>
      <c r="D75" s="125"/>
      <c r="E75" s="120"/>
      <c r="F75" s="66"/>
    </row>
    <row r="76" spans="2:6" ht="16.5" thickBot="1" x14ac:dyDescent="0.3">
      <c r="B76" s="14" t="s">
        <v>15</v>
      </c>
      <c r="C76" s="9" t="s">
        <v>120</v>
      </c>
      <c r="D76" s="117">
        <f>D54+D68</f>
        <v>2037194448.29</v>
      </c>
      <c r="E76" s="118">
        <f>E54+E68</f>
        <v>1498892778</v>
      </c>
      <c r="F76" s="66"/>
    </row>
    <row r="77" spans="2:6" ht="16.5" thickBot="1" x14ac:dyDescent="0.3">
      <c r="B77" s="14" t="s">
        <v>20</v>
      </c>
      <c r="C77" s="9" t="s">
        <v>124</v>
      </c>
      <c r="D77" s="117">
        <f>SUM(D78:D80)</f>
        <v>66903444</v>
      </c>
      <c r="E77" s="118">
        <f>SUM(E78:E80)</f>
        <v>304595455</v>
      </c>
      <c r="F77" s="66"/>
    </row>
    <row r="78" spans="2:6" x14ac:dyDescent="0.25">
      <c r="B78" s="15" t="s">
        <v>22</v>
      </c>
      <c r="C78" s="8" t="s">
        <v>121</v>
      </c>
      <c r="D78" s="63">
        <f>'12.Önk kiad'!Z22</f>
        <v>16903444</v>
      </c>
      <c r="E78" s="119">
        <f>'12.Önk kiad'!AA22</f>
        <v>16903444</v>
      </c>
      <c r="F78" s="66"/>
    </row>
    <row r="79" spans="2:6" x14ac:dyDescent="0.25">
      <c r="B79" s="16" t="s">
        <v>26</v>
      </c>
      <c r="C79" s="4" t="s">
        <v>122</v>
      </c>
      <c r="D79" s="121">
        <v>50000000</v>
      </c>
      <c r="E79" s="119">
        <f>'12.Önk kiad'!AA23</f>
        <v>287692011</v>
      </c>
      <c r="F79" s="66"/>
    </row>
    <row r="80" spans="2:6" ht="16.5" thickBot="1" x14ac:dyDescent="0.3">
      <c r="B80" s="17" t="s">
        <v>27</v>
      </c>
      <c r="C80" s="10" t="s">
        <v>123</v>
      </c>
      <c r="D80" s="125"/>
      <c r="E80" s="120"/>
      <c r="F80" s="66"/>
    </row>
    <row r="81" spans="2:7" ht="16.5" thickBot="1" x14ac:dyDescent="0.3">
      <c r="B81" s="28" t="s">
        <v>29</v>
      </c>
      <c r="C81" s="29" t="s">
        <v>125</v>
      </c>
      <c r="D81" s="127"/>
      <c r="E81" s="120"/>
      <c r="F81" s="66"/>
    </row>
    <row r="82" spans="2:7" ht="16.5" thickBot="1" x14ac:dyDescent="0.3">
      <c r="B82" s="14" t="s">
        <v>51</v>
      </c>
      <c r="C82" s="9" t="s">
        <v>128</v>
      </c>
      <c r="D82" s="117">
        <f>D83</f>
        <v>16898319</v>
      </c>
      <c r="E82" s="118">
        <f>E83</f>
        <v>17613632</v>
      </c>
      <c r="F82" s="66"/>
    </row>
    <row r="83" spans="2:7" ht="16.5" thickBot="1" x14ac:dyDescent="0.3">
      <c r="B83" s="304" t="s">
        <v>126</v>
      </c>
      <c r="C83" s="27" t="s">
        <v>127</v>
      </c>
      <c r="D83" s="129">
        <f>'12.Önk kiad'!Z20</f>
        <v>16898319</v>
      </c>
      <c r="E83" s="305">
        <f>'12.Önk kiad'!AA20</f>
        <v>17613632</v>
      </c>
      <c r="F83" s="66"/>
    </row>
    <row r="84" spans="2:7" ht="16.5" thickBot="1" x14ac:dyDescent="0.3">
      <c r="B84" s="14" t="s">
        <v>53</v>
      </c>
      <c r="C84" s="9" t="s">
        <v>129</v>
      </c>
      <c r="D84" s="117"/>
      <c r="E84" s="130"/>
      <c r="F84" s="66"/>
    </row>
    <row r="85" spans="2:7" ht="16.5" thickBot="1" x14ac:dyDescent="0.3">
      <c r="B85" s="14" t="s">
        <v>55</v>
      </c>
      <c r="C85" s="9" t="s">
        <v>130</v>
      </c>
      <c r="D85" s="117"/>
      <c r="E85" s="130"/>
      <c r="F85" s="66"/>
    </row>
    <row r="86" spans="2:7" ht="16.5" thickBot="1" x14ac:dyDescent="0.3">
      <c r="B86" s="14" t="s">
        <v>131</v>
      </c>
      <c r="C86" s="9" t="s">
        <v>132</v>
      </c>
      <c r="D86" s="117"/>
      <c r="E86" s="119"/>
      <c r="F86" s="66"/>
    </row>
    <row r="87" spans="2:7" ht="16.5" thickBot="1" x14ac:dyDescent="0.3">
      <c r="B87" s="14" t="s">
        <v>58</v>
      </c>
      <c r="C87" s="9" t="s">
        <v>133</v>
      </c>
      <c r="D87" s="117">
        <f>D77+D81+D82+D84+D85+D86</f>
        <v>83801763</v>
      </c>
      <c r="E87" s="118">
        <f>E77+E81+E82+E84+E85+E86</f>
        <v>322209087</v>
      </c>
      <c r="F87" s="66"/>
    </row>
    <row r="88" spans="2:7" ht="16.5" thickBot="1" x14ac:dyDescent="0.3">
      <c r="B88" s="14" t="s">
        <v>66</v>
      </c>
      <c r="C88" s="9" t="s">
        <v>134</v>
      </c>
      <c r="D88" s="117">
        <f>D76+D87</f>
        <v>2120996211.29</v>
      </c>
      <c r="E88" s="118">
        <f>E76+E87</f>
        <v>1821101865</v>
      </c>
      <c r="F88" s="66"/>
      <c r="G88" s="71"/>
    </row>
    <row r="90" spans="2:7" s="30" customFormat="1" ht="29.25" customHeight="1" x14ac:dyDescent="0.25">
      <c r="B90" s="314" t="s">
        <v>139</v>
      </c>
      <c r="C90" s="314"/>
      <c r="D90" s="314"/>
      <c r="E90" s="86"/>
    </row>
    <row r="91" spans="2:7" ht="16.5" thickBot="1" x14ac:dyDescent="0.3">
      <c r="B91" s="18" t="s">
        <v>140</v>
      </c>
      <c r="C91" s="1"/>
      <c r="D91" s="69"/>
    </row>
    <row r="92" spans="2:7" ht="32.25" thickBot="1" x14ac:dyDescent="0.3">
      <c r="B92" s="14" t="s">
        <v>3</v>
      </c>
      <c r="C92" s="11" t="s">
        <v>141</v>
      </c>
      <c r="D92" s="131">
        <f>D36-D76</f>
        <v>926637.71000003815</v>
      </c>
      <c r="E92" s="118">
        <f>E36-E76</f>
        <v>-30080411</v>
      </c>
    </row>
    <row r="93" spans="2:7" ht="32.25" thickBot="1" x14ac:dyDescent="0.3">
      <c r="B93" s="14" t="s">
        <v>5</v>
      </c>
      <c r="C93" s="11" t="s">
        <v>142</v>
      </c>
      <c r="D93" s="131">
        <f>D48-D87</f>
        <v>-926638</v>
      </c>
      <c r="E93" s="131">
        <f>E48-E87</f>
        <v>30080411</v>
      </c>
      <c r="F93" s="66"/>
    </row>
    <row r="95" spans="2:7" x14ac:dyDescent="0.25">
      <c r="B95" s="207"/>
      <c r="C95" s="208"/>
      <c r="D95" s="206"/>
      <c r="E95" s="206"/>
    </row>
    <row r="96" spans="2:7" x14ac:dyDescent="0.25">
      <c r="B96" s="207"/>
      <c r="C96" s="209" t="s">
        <v>562</v>
      </c>
      <c r="D96" s="206"/>
      <c r="E96" s="205"/>
    </row>
    <row r="97" spans="2:5" x14ac:dyDescent="0.25">
      <c r="B97" s="207"/>
      <c r="C97" s="208" t="s">
        <v>0</v>
      </c>
      <c r="D97" s="206"/>
      <c r="E97" s="205"/>
    </row>
    <row r="98" spans="2:5" x14ac:dyDescent="0.25">
      <c r="B98" s="207"/>
      <c r="C98" s="208" t="s">
        <v>282</v>
      </c>
      <c r="D98" s="206"/>
      <c r="E98" s="205"/>
    </row>
    <row r="99" spans="2:5" x14ac:dyDescent="0.25">
      <c r="B99" s="207"/>
      <c r="C99" s="208" t="s">
        <v>301</v>
      </c>
      <c r="D99" s="206"/>
      <c r="E99" s="205"/>
    </row>
    <row r="100" spans="2:5" x14ac:dyDescent="0.25">
      <c r="B100" s="207"/>
      <c r="C100" s="208" t="s">
        <v>513</v>
      </c>
      <c r="D100" s="206"/>
      <c r="E100" s="205"/>
    </row>
    <row r="101" spans="2:5" x14ac:dyDescent="0.25">
      <c r="B101" s="207"/>
      <c r="C101" s="208"/>
      <c r="D101" s="206"/>
      <c r="E101" s="205"/>
    </row>
    <row r="102" spans="2:5" x14ac:dyDescent="0.25">
      <c r="B102" s="207"/>
      <c r="C102" s="208"/>
      <c r="D102" s="206"/>
      <c r="E102" s="205"/>
    </row>
    <row r="103" spans="2:5" x14ac:dyDescent="0.25">
      <c r="B103" s="207"/>
      <c r="C103" s="208" t="s">
        <v>514</v>
      </c>
      <c r="D103" s="206"/>
      <c r="E103" s="205"/>
    </row>
    <row r="104" spans="2:5" x14ac:dyDescent="0.25">
      <c r="B104" s="207"/>
      <c r="C104" s="208" t="s">
        <v>515</v>
      </c>
      <c r="D104" s="206"/>
      <c r="E104" s="205"/>
    </row>
    <row r="105" spans="2:5" x14ac:dyDescent="0.25">
      <c r="B105" s="207"/>
      <c r="C105" s="208"/>
      <c r="D105" s="206"/>
      <c r="E105" s="205"/>
    </row>
    <row r="106" spans="2:5" x14ac:dyDescent="0.25">
      <c r="B106" s="207"/>
      <c r="C106" s="208"/>
      <c r="D106" s="206"/>
      <c r="E106" s="205"/>
    </row>
    <row r="107" spans="2:5" x14ac:dyDescent="0.25">
      <c r="B107" s="207"/>
      <c r="C107" s="208" t="s">
        <v>283</v>
      </c>
      <c r="D107" s="206"/>
      <c r="E107" s="205"/>
    </row>
    <row r="108" spans="2:5" x14ac:dyDescent="0.25">
      <c r="B108" s="207"/>
      <c r="C108" s="208" t="s">
        <v>287</v>
      </c>
      <c r="D108" s="206"/>
      <c r="E108" s="205"/>
    </row>
    <row r="109" spans="2:5" x14ac:dyDescent="0.25">
      <c r="B109" s="207"/>
      <c r="C109" s="208" t="s">
        <v>299</v>
      </c>
      <c r="D109" s="206"/>
      <c r="E109" s="205"/>
    </row>
    <row r="110" spans="2:5" x14ac:dyDescent="0.25">
      <c r="B110" s="207"/>
      <c r="C110" s="208"/>
      <c r="D110" s="206"/>
      <c r="E110" s="205"/>
    </row>
    <row r="111" spans="2:5" x14ac:dyDescent="0.25">
      <c r="B111" s="207"/>
      <c r="C111" s="208" t="s">
        <v>284</v>
      </c>
      <c r="D111" s="206"/>
      <c r="E111" s="205"/>
    </row>
    <row r="112" spans="2:5" x14ac:dyDescent="0.25">
      <c r="B112" s="207"/>
      <c r="C112" s="208" t="s">
        <v>302</v>
      </c>
      <c r="D112" s="206"/>
      <c r="E112" s="205"/>
    </row>
    <row r="113" spans="2:5" x14ac:dyDescent="0.25">
      <c r="B113" s="207"/>
      <c r="C113" s="208" t="s">
        <v>291</v>
      </c>
      <c r="D113" s="206"/>
      <c r="E113" s="205"/>
    </row>
    <row r="114" spans="2:5" x14ac:dyDescent="0.25">
      <c r="B114" s="207"/>
      <c r="C114" s="208"/>
      <c r="D114" s="206"/>
      <c r="E114" s="205"/>
    </row>
    <row r="115" spans="2:5" x14ac:dyDescent="0.25">
      <c r="B115" s="207"/>
      <c r="C115" s="208" t="s">
        <v>285</v>
      </c>
      <c r="D115" s="206"/>
      <c r="E115" s="205"/>
    </row>
    <row r="116" spans="2:5" x14ac:dyDescent="0.25">
      <c r="B116" s="207"/>
      <c r="C116" s="208" t="s">
        <v>603</v>
      </c>
      <c r="D116" s="206"/>
      <c r="E116" s="205"/>
    </row>
    <row r="117" spans="2:5" x14ac:dyDescent="0.25">
      <c r="B117" s="207"/>
      <c r="C117" s="208" t="s">
        <v>604</v>
      </c>
      <c r="D117" s="206"/>
      <c r="E117" s="205"/>
    </row>
    <row r="118" spans="2:5" x14ac:dyDescent="0.25">
      <c r="B118" s="207"/>
      <c r="C118" s="208"/>
      <c r="D118" s="206"/>
      <c r="E118" s="205"/>
    </row>
    <row r="119" spans="2:5" x14ac:dyDescent="0.25">
      <c r="B119" s="207"/>
      <c r="C119" s="208" t="s">
        <v>286</v>
      </c>
      <c r="D119" s="206"/>
      <c r="E119" s="205"/>
    </row>
    <row r="120" spans="2:5" x14ac:dyDescent="0.25">
      <c r="B120" s="207"/>
      <c r="C120" s="208" t="s">
        <v>495</v>
      </c>
      <c r="D120" s="206"/>
      <c r="E120" s="205"/>
    </row>
    <row r="121" spans="2:5" x14ac:dyDescent="0.25">
      <c r="C121" s="208"/>
      <c r="D121" s="206"/>
      <c r="E121" s="205"/>
    </row>
    <row r="122" spans="2:5" x14ac:dyDescent="0.25">
      <c r="C122" s="206"/>
      <c r="D122" s="205"/>
      <c r="E122" s="2"/>
    </row>
    <row r="123" spans="2:5" x14ac:dyDescent="0.25">
      <c r="C123" s="206"/>
      <c r="D123" s="205"/>
      <c r="E123" s="2"/>
    </row>
    <row r="124" spans="2:5" x14ac:dyDescent="0.25">
      <c r="C124" s="206"/>
      <c r="D124" s="205"/>
      <c r="E124" s="2"/>
    </row>
    <row r="125" spans="2:5" x14ac:dyDescent="0.25">
      <c r="C125" s="206"/>
      <c r="D125" s="205"/>
      <c r="E125" s="2"/>
    </row>
    <row r="126" spans="2:5" x14ac:dyDescent="0.25">
      <c r="C126" s="206"/>
      <c r="D126" s="205"/>
      <c r="E126" s="2"/>
    </row>
    <row r="127" spans="2:5" x14ac:dyDescent="0.25">
      <c r="C127" s="206"/>
      <c r="D127" s="205"/>
      <c r="E127" s="2"/>
    </row>
    <row r="128" spans="2:5" x14ac:dyDescent="0.25">
      <c r="C128" s="206"/>
      <c r="D128" s="205"/>
      <c r="E128" s="2"/>
    </row>
    <row r="129" spans="3:5" x14ac:dyDescent="0.25">
      <c r="C129" s="206"/>
      <c r="D129" s="205"/>
      <c r="E129" s="2"/>
    </row>
    <row r="130" spans="3:5" x14ac:dyDescent="0.25">
      <c r="C130" s="71"/>
      <c r="E130" s="2"/>
    </row>
    <row r="131" spans="3:5" x14ac:dyDescent="0.25">
      <c r="C131" s="71"/>
      <c r="E131" s="2"/>
    </row>
  </sheetData>
  <mergeCells count="6">
    <mergeCell ref="B90:D90"/>
    <mergeCell ref="B51:D51"/>
    <mergeCell ref="B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scale="7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94"/>
  <sheetViews>
    <sheetView workbookViewId="0">
      <selection sqref="A1:D1"/>
    </sheetView>
  </sheetViews>
  <sheetFormatPr defaultRowHeight="15.75" x14ac:dyDescent="0.25"/>
  <cols>
    <col min="1" max="1" width="6.28515625" style="12" customWidth="1"/>
    <col min="2" max="2" width="66.140625" style="2" customWidth="1"/>
    <col min="3" max="3" width="17.7109375" style="71" customWidth="1"/>
    <col min="4" max="4" width="15.28515625" style="71" customWidth="1"/>
    <col min="5" max="6" width="12.42578125" style="2" bestFit="1" customWidth="1"/>
    <col min="7" max="7" width="12.28515625" style="2" customWidth="1"/>
    <col min="8" max="16384" width="9.140625" style="2"/>
  </cols>
  <sheetData>
    <row r="1" spans="1:4" x14ac:dyDescent="0.25">
      <c r="A1" s="316" t="s">
        <v>606</v>
      </c>
      <c r="B1" s="316"/>
      <c r="C1" s="316"/>
      <c r="D1" s="316"/>
    </row>
    <row r="2" spans="1:4" s="1" customFormat="1" x14ac:dyDescent="0.25">
      <c r="A2" s="315" t="s">
        <v>0</v>
      </c>
      <c r="B2" s="315"/>
      <c r="C2" s="315"/>
      <c r="D2" s="315"/>
    </row>
    <row r="3" spans="1:4" s="1" customFormat="1" x14ac:dyDescent="0.25">
      <c r="A3" s="315" t="s">
        <v>559</v>
      </c>
      <c r="B3" s="315"/>
      <c r="C3" s="315"/>
      <c r="D3" s="315"/>
    </row>
    <row r="4" spans="1:4" s="1" customFormat="1" x14ac:dyDescent="0.25">
      <c r="A4" s="315" t="s">
        <v>1</v>
      </c>
      <c r="B4" s="315"/>
      <c r="C4" s="315"/>
      <c r="D4" s="315"/>
    </row>
    <row r="5" spans="1:4" s="1" customFormat="1" ht="16.5" thickBot="1" x14ac:dyDescent="0.3">
      <c r="A5" s="18"/>
      <c r="C5" s="72"/>
      <c r="D5" s="70"/>
    </row>
    <row r="6" spans="1:4" s="3" customFormat="1" ht="16.5" thickBot="1" x14ac:dyDescent="0.3">
      <c r="A6" s="5" t="s">
        <v>147</v>
      </c>
      <c r="B6" s="6" t="s">
        <v>170</v>
      </c>
      <c r="C6" s="76" t="s">
        <v>148</v>
      </c>
      <c r="D6" s="84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7" t="s">
        <v>539</v>
      </c>
      <c r="D7" s="85" t="s">
        <v>540</v>
      </c>
    </row>
    <row r="8" spans="1:4" s="1" customFormat="1" ht="16.5" thickBot="1" x14ac:dyDescent="0.3">
      <c r="A8" s="14" t="s">
        <v>3</v>
      </c>
      <c r="B8" s="9" t="s">
        <v>16</v>
      </c>
      <c r="C8" s="117">
        <f>SUM(C9:C14)</f>
        <v>829202016</v>
      </c>
      <c r="D8" s="118">
        <f>SUM(D9:D14)</f>
        <v>710626949</v>
      </c>
    </row>
    <row r="9" spans="1:4" x14ac:dyDescent="0.25">
      <c r="A9" s="15" t="s">
        <v>6</v>
      </c>
      <c r="B9" s="8" t="s">
        <v>387</v>
      </c>
      <c r="C9" s="119">
        <f>'1.összevont'!D9</f>
        <v>162189157</v>
      </c>
      <c r="D9" s="119">
        <f>'1.összevont'!E9</f>
        <v>179250857</v>
      </c>
    </row>
    <row r="10" spans="1:4" x14ac:dyDescent="0.25">
      <c r="A10" s="16" t="s">
        <v>7</v>
      </c>
      <c r="B10" s="4" t="s">
        <v>478</v>
      </c>
      <c r="C10" s="119">
        <f>'1.összevont'!D10</f>
        <v>159972470</v>
      </c>
      <c r="D10" s="119">
        <f>'1.összevont'!E10</f>
        <v>191847139</v>
      </c>
    </row>
    <row r="11" spans="1:4" x14ac:dyDescent="0.25">
      <c r="A11" s="16" t="s">
        <v>8</v>
      </c>
      <c r="B11" s="4" t="s">
        <v>479</v>
      </c>
      <c r="C11" s="119">
        <f>'7.Önk bev.'!I15+'7.Önk bev.'!I17+'7.Önk bev.'!I18</f>
        <v>86895472</v>
      </c>
      <c r="D11" s="119">
        <f>'7.Önk bev.'!J15+'7.Önk bev.'!J17+'7.Önk bev.'!J18</f>
        <v>137743275</v>
      </c>
    </row>
    <row r="12" spans="1:4" x14ac:dyDescent="0.25">
      <c r="A12" s="16" t="s">
        <v>9</v>
      </c>
      <c r="B12" s="4" t="s">
        <v>480</v>
      </c>
      <c r="C12" s="119">
        <f>'7.Önk bev.'!I19</f>
        <v>12463522</v>
      </c>
      <c r="D12" s="119">
        <f>'7.Önk bev.'!J19</f>
        <v>12613522</v>
      </c>
    </row>
    <row r="13" spans="1:4" x14ac:dyDescent="0.25">
      <c r="A13" s="16" t="s">
        <v>10</v>
      </c>
      <c r="B13" s="4" t="s">
        <v>481</v>
      </c>
      <c r="C13" s="119">
        <f>'7.Önk bev.'!I20</f>
        <v>399841367</v>
      </c>
      <c r="D13" s="119">
        <f>'7.Önk bev.'!J20</f>
        <v>179616145</v>
      </c>
    </row>
    <row r="14" spans="1:4" ht="16.5" thickBot="1" x14ac:dyDescent="0.3">
      <c r="A14" s="17" t="s">
        <v>11</v>
      </c>
      <c r="B14" s="10" t="s">
        <v>482</v>
      </c>
      <c r="C14" s="121">
        <f>'1.összevont'!D14</f>
        <v>7840028</v>
      </c>
      <c r="D14" s="121">
        <f>'1.összevont'!E14</f>
        <v>9556011</v>
      </c>
    </row>
    <row r="15" spans="1:4" s="1" customFormat="1" ht="16.5" thickBot="1" x14ac:dyDescent="0.3">
      <c r="A15" s="14" t="s">
        <v>5</v>
      </c>
      <c r="B15" s="9" t="s">
        <v>39</v>
      </c>
      <c r="C15" s="115">
        <f>SUM(C16:C17)</f>
        <v>101127790</v>
      </c>
      <c r="D15" s="115">
        <f>SUM(D16:D17)</f>
        <v>109994126</v>
      </c>
    </row>
    <row r="16" spans="1:4" x14ac:dyDescent="0.25">
      <c r="A16" s="15" t="s">
        <v>12</v>
      </c>
      <c r="B16" s="8" t="s">
        <v>36</v>
      </c>
      <c r="C16" s="119"/>
      <c r="D16" s="121"/>
    </row>
    <row r="17" spans="1:4" x14ac:dyDescent="0.25">
      <c r="A17" s="16" t="s">
        <v>13</v>
      </c>
      <c r="B17" s="4" t="s">
        <v>388</v>
      </c>
      <c r="C17" s="119">
        <f>'7.Önk bev.'!M45</f>
        <v>101127790</v>
      </c>
      <c r="D17" s="119">
        <f>'7.Önk bev.'!N45</f>
        <v>109994126</v>
      </c>
    </row>
    <row r="18" spans="1:4" ht="16.5" thickBot="1" x14ac:dyDescent="0.3">
      <c r="A18" s="17" t="s">
        <v>14</v>
      </c>
      <c r="B18" s="10" t="s">
        <v>38</v>
      </c>
      <c r="C18" s="119"/>
      <c r="D18" s="121"/>
    </row>
    <row r="19" spans="1:4" s="1" customFormat="1" ht="16.5" thickBot="1" x14ac:dyDescent="0.3">
      <c r="A19" s="14" t="s">
        <v>15</v>
      </c>
      <c r="B19" s="9" t="s">
        <v>43</v>
      </c>
      <c r="C19" s="115">
        <f>SUM(C20:C21)</f>
        <v>128398477</v>
      </c>
      <c r="D19" s="118">
        <f>SUM(D20:D21)</f>
        <v>135445200</v>
      </c>
    </row>
    <row r="20" spans="1:4" x14ac:dyDescent="0.25">
      <c r="A20" s="15" t="s">
        <v>17</v>
      </c>
      <c r="B20" s="8" t="s">
        <v>389</v>
      </c>
      <c r="C20" s="119"/>
      <c r="D20" s="121"/>
    </row>
    <row r="21" spans="1:4" x14ac:dyDescent="0.25">
      <c r="A21" s="16" t="s">
        <v>18</v>
      </c>
      <c r="B21" s="4" t="s">
        <v>390</v>
      </c>
      <c r="C21" s="119">
        <f>'7.Önk bev.'!O63</f>
        <v>128398477</v>
      </c>
      <c r="D21" s="119">
        <f>'7.Önk bev.'!P63</f>
        <v>135445200</v>
      </c>
    </row>
    <row r="22" spans="1:4" ht="16.5" thickBot="1" x14ac:dyDescent="0.3">
      <c r="A22" s="17" t="s">
        <v>19</v>
      </c>
      <c r="B22" s="10" t="s">
        <v>42</v>
      </c>
      <c r="C22" s="119"/>
      <c r="D22" s="121"/>
    </row>
    <row r="23" spans="1:4" s="1" customFormat="1" ht="16.5" thickBot="1" x14ac:dyDescent="0.3">
      <c r="A23" s="14" t="s">
        <v>20</v>
      </c>
      <c r="B23" s="9" t="s">
        <v>21</v>
      </c>
      <c r="C23" s="115">
        <f>C24+C29+C30+C31</f>
        <v>198157000</v>
      </c>
      <c r="D23" s="118">
        <f>D24+D29+D30+D31</f>
        <v>178576886</v>
      </c>
    </row>
    <row r="24" spans="1:4" x14ac:dyDescent="0.25">
      <c r="A24" s="15" t="s">
        <v>22</v>
      </c>
      <c r="B24" s="8" t="s">
        <v>44</v>
      </c>
      <c r="C24" s="119">
        <f>SUM(C25:C28)</f>
        <v>195268000</v>
      </c>
      <c r="D24" s="119">
        <f>SUM(D25:D28)</f>
        <v>175684762</v>
      </c>
    </row>
    <row r="25" spans="1:4" x14ac:dyDescent="0.25">
      <c r="A25" s="16" t="s">
        <v>23</v>
      </c>
      <c r="B25" s="4" t="s">
        <v>292</v>
      </c>
      <c r="C25" s="119">
        <f>'7.Önk bev.'!G7</f>
        <v>180000</v>
      </c>
      <c r="D25" s="119">
        <f>'7.Önk bev.'!H7</f>
        <v>141894</v>
      </c>
    </row>
    <row r="26" spans="1:4" x14ac:dyDescent="0.25">
      <c r="A26" s="16" t="s">
        <v>24</v>
      </c>
      <c r="B26" s="4" t="s">
        <v>46</v>
      </c>
      <c r="C26" s="119">
        <f>'7.Önk bev.'!G6</f>
        <v>170000000</v>
      </c>
      <c r="D26" s="119">
        <f>'7.Önk bev.'!H6</f>
        <v>156029408</v>
      </c>
    </row>
    <row r="27" spans="1:4" x14ac:dyDescent="0.25">
      <c r="A27" s="16" t="s">
        <v>26</v>
      </c>
      <c r="B27" s="4" t="s">
        <v>528</v>
      </c>
      <c r="C27" s="119">
        <f>'7.Önk bev.'!G12</f>
        <v>25000000</v>
      </c>
      <c r="D27" s="119">
        <f>'7.Önk bev.'!H12</f>
        <v>19401860</v>
      </c>
    </row>
    <row r="28" spans="1:4" x14ac:dyDescent="0.25">
      <c r="A28" s="16" t="s">
        <v>27</v>
      </c>
      <c r="B28" s="4" t="s">
        <v>527</v>
      </c>
      <c r="C28" s="119">
        <f>'7.Önk bev.'!G11</f>
        <v>88000</v>
      </c>
      <c r="D28" s="119">
        <f>'7.Önk bev.'!H11</f>
        <v>111600</v>
      </c>
    </row>
    <row r="29" spans="1:4" x14ac:dyDescent="0.25">
      <c r="A29" s="16" t="s">
        <v>28</v>
      </c>
      <c r="B29" s="4" t="s">
        <v>206</v>
      </c>
      <c r="C29" s="119">
        <f>'7.Önk bev.'!G8</f>
        <v>1930000</v>
      </c>
      <c r="D29" s="119">
        <f>'7.Önk bev.'!H8</f>
        <v>1445704</v>
      </c>
    </row>
    <row r="30" spans="1:4" x14ac:dyDescent="0.25">
      <c r="A30" s="16" t="s">
        <v>555</v>
      </c>
      <c r="B30" s="4" t="s">
        <v>49</v>
      </c>
      <c r="C30" s="119">
        <f>'7.Önk bev.'!G9</f>
        <v>10000</v>
      </c>
      <c r="D30" s="119">
        <f>'7.Önk bev.'!H9</f>
        <v>0</v>
      </c>
    </row>
    <row r="31" spans="1:4" ht="16.5" thickBot="1" x14ac:dyDescent="0.3">
      <c r="A31" s="16" t="s">
        <v>556</v>
      </c>
      <c r="B31" s="10" t="s">
        <v>391</v>
      </c>
      <c r="C31" s="119">
        <f>'7.Önk bev.'!G10</f>
        <v>949000</v>
      </c>
      <c r="D31" s="119">
        <f>'7.Önk bev.'!H10</f>
        <v>1446420</v>
      </c>
    </row>
    <row r="32" spans="1:4" s="1" customFormat="1" ht="16.5" thickBot="1" x14ac:dyDescent="0.3">
      <c r="A32" s="14" t="s">
        <v>29</v>
      </c>
      <c r="B32" s="74" t="s">
        <v>392</v>
      </c>
      <c r="C32" s="118">
        <f>'7.Önk bev.'!E63</f>
        <v>59397672</v>
      </c>
      <c r="D32" s="118">
        <f>'7.Önk bev.'!F63</f>
        <v>70505401</v>
      </c>
    </row>
    <row r="33" spans="1:5" s="1" customFormat="1" ht="16.5" thickBot="1" x14ac:dyDescent="0.3">
      <c r="A33" s="19" t="s">
        <v>51</v>
      </c>
      <c r="B33" s="20" t="s">
        <v>52</v>
      </c>
      <c r="C33" s="115"/>
      <c r="D33" s="118">
        <f>'7.Önk bev.'!T63</f>
        <v>1614961</v>
      </c>
    </row>
    <row r="34" spans="1:5" s="1" customFormat="1" ht="16.5" thickBot="1" x14ac:dyDescent="0.3">
      <c r="A34" s="14" t="s">
        <v>53</v>
      </c>
      <c r="B34" s="9" t="s">
        <v>159</v>
      </c>
      <c r="C34" s="118">
        <f>'7.Önk bev.'!Q63</f>
        <v>0</v>
      </c>
      <c r="D34" s="118">
        <f>'7.Önk bev.'!R63</f>
        <v>0</v>
      </c>
    </row>
    <row r="35" spans="1:5" s="1" customFormat="1" ht="16.5" thickBot="1" x14ac:dyDescent="0.3">
      <c r="A35" s="14" t="s">
        <v>55</v>
      </c>
      <c r="B35" s="9" t="s">
        <v>56</v>
      </c>
      <c r="C35" s="115">
        <v>0</v>
      </c>
      <c r="D35" s="115">
        <v>0</v>
      </c>
    </row>
    <row r="36" spans="1:5" s="1" customFormat="1" ht="16.5" thickBot="1" x14ac:dyDescent="0.3">
      <c r="A36" s="14" t="s">
        <v>57</v>
      </c>
      <c r="B36" s="9" t="s">
        <v>135</v>
      </c>
      <c r="C36" s="115">
        <f>C8+C15+C19+C23+C32+C33+C34+C35</f>
        <v>1316282955</v>
      </c>
      <c r="D36" s="115">
        <f>D8+D15+D19+D23+D32+D33+D34+D35</f>
        <v>1206763523</v>
      </c>
    </row>
    <row r="37" spans="1:5" s="1" customFormat="1" ht="16.5" thickBot="1" x14ac:dyDescent="0.3">
      <c r="A37" s="14" t="s">
        <v>58</v>
      </c>
      <c r="B37" s="9" t="s">
        <v>59</v>
      </c>
      <c r="C37" s="115">
        <f>SUM(C38:C40)</f>
        <v>50000000</v>
      </c>
      <c r="D37" s="118">
        <f>SUM(D38:D40)</f>
        <v>310789144</v>
      </c>
    </row>
    <row r="38" spans="1:5" x14ac:dyDescent="0.25">
      <c r="A38" s="15" t="s">
        <v>60</v>
      </c>
      <c r="B38" s="8" t="s">
        <v>61</v>
      </c>
      <c r="C38" s="119"/>
      <c r="D38" s="123"/>
    </row>
    <row r="39" spans="1:5" x14ac:dyDescent="0.25">
      <c r="A39" s="16" t="s">
        <v>62</v>
      </c>
      <c r="B39" s="4" t="s">
        <v>63</v>
      </c>
      <c r="C39" s="119">
        <f>'7.Önk bev.'!W63</f>
        <v>50000000</v>
      </c>
      <c r="D39" s="119">
        <f>'7.Önk bev.'!X63</f>
        <v>310789144</v>
      </c>
      <c r="E39" s="119"/>
    </row>
    <row r="40" spans="1:5" ht="16.5" thickBot="1" x14ac:dyDescent="0.3">
      <c r="A40" s="17" t="s">
        <v>64</v>
      </c>
      <c r="B40" s="10" t="s">
        <v>65</v>
      </c>
      <c r="C40" s="119"/>
      <c r="D40" s="63"/>
    </row>
    <row r="41" spans="1:5" s="1" customFormat="1" ht="16.5" thickBot="1" x14ac:dyDescent="0.3">
      <c r="A41" s="14" t="s">
        <v>66</v>
      </c>
      <c r="B41" s="9" t="s">
        <v>67</v>
      </c>
      <c r="C41" s="115"/>
      <c r="D41" s="115"/>
    </row>
    <row r="42" spans="1:5" s="1" customFormat="1" ht="16.5" thickBot="1" x14ac:dyDescent="0.3">
      <c r="A42" s="14" t="s">
        <v>68</v>
      </c>
      <c r="B42" s="9" t="s">
        <v>290</v>
      </c>
      <c r="C42" s="115">
        <f>'7.Önk bev.'!U63</f>
        <v>14258921</v>
      </c>
      <c r="D42" s="115">
        <f>'7.Önk bev.'!V63</f>
        <v>22434671</v>
      </c>
    </row>
    <row r="43" spans="1:5" s="1" customFormat="1" ht="16.5" thickBot="1" x14ac:dyDescent="0.3">
      <c r="A43" s="14" t="s">
        <v>70</v>
      </c>
      <c r="B43" s="9" t="s">
        <v>71</v>
      </c>
      <c r="C43" s="115"/>
      <c r="D43" s="64">
        <f>SUM(D44:D45)</f>
        <v>0</v>
      </c>
    </row>
    <row r="44" spans="1:5" x14ac:dyDescent="0.25">
      <c r="A44" s="15" t="s">
        <v>72</v>
      </c>
      <c r="B44" s="8" t="s">
        <v>73</v>
      </c>
      <c r="C44" s="119"/>
      <c r="D44" s="121">
        <f>'7.Önk bev.'!X30</f>
        <v>0</v>
      </c>
    </row>
    <row r="45" spans="1:5" ht="16.5" thickBot="1" x14ac:dyDescent="0.3">
      <c r="A45" s="17" t="s">
        <v>74</v>
      </c>
      <c r="B45" s="10" t="s">
        <v>75</v>
      </c>
      <c r="C45" s="119"/>
      <c r="D45" s="125"/>
    </row>
    <row r="46" spans="1:5" s="1" customFormat="1" ht="16.5" thickBot="1" x14ac:dyDescent="0.3">
      <c r="A46" s="14" t="s">
        <v>76</v>
      </c>
      <c r="B46" s="9" t="s">
        <v>77</v>
      </c>
      <c r="C46" s="131">
        <v>0</v>
      </c>
      <c r="D46" s="118">
        <v>0</v>
      </c>
    </row>
    <row r="47" spans="1:5" s="1" customFormat="1" ht="16.5" thickBot="1" x14ac:dyDescent="0.3">
      <c r="A47" s="14" t="s">
        <v>78</v>
      </c>
      <c r="B47" s="9" t="s">
        <v>79</v>
      </c>
      <c r="C47" s="131">
        <v>0</v>
      </c>
      <c r="D47" s="118">
        <v>0</v>
      </c>
    </row>
    <row r="48" spans="1:5" s="1" customFormat="1" ht="16.5" thickBot="1" x14ac:dyDescent="0.3">
      <c r="A48" s="14" t="s">
        <v>80</v>
      </c>
      <c r="B48" s="9" t="s">
        <v>81</v>
      </c>
      <c r="C48" s="131">
        <v>0</v>
      </c>
      <c r="D48" s="118">
        <v>0</v>
      </c>
    </row>
    <row r="49" spans="1:4" s="1" customFormat="1" ht="16.5" thickBot="1" x14ac:dyDescent="0.3">
      <c r="A49" s="14" t="s">
        <v>82</v>
      </c>
      <c r="B49" s="9" t="s">
        <v>83</v>
      </c>
      <c r="C49" s="115">
        <f>C37+C41+C42+C43+C46+C47+C48</f>
        <v>64258921</v>
      </c>
      <c r="D49" s="118">
        <f>D37+D41+D42+D43+D46+D47+D48</f>
        <v>333223815</v>
      </c>
    </row>
    <row r="50" spans="1:4" s="1" customFormat="1" ht="32.25" thickBot="1" x14ac:dyDescent="0.3">
      <c r="A50" s="14" t="s">
        <v>84</v>
      </c>
      <c r="B50" s="11" t="s">
        <v>85</v>
      </c>
      <c r="C50" s="132">
        <f>C36+C49</f>
        <v>1380541876</v>
      </c>
      <c r="D50" s="133">
        <f>D36+D49</f>
        <v>1539987338</v>
      </c>
    </row>
    <row r="52" spans="1:4" x14ac:dyDescent="0.25">
      <c r="A52" s="315" t="s">
        <v>86</v>
      </c>
      <c r="B52" s="315"/>
      <c r="C52" s="315"/>
    </row>
    <row r="53" spans="1:4" ht="16.5" thickBot="1" x14ac:dyDescent="0.3">
      <c r="A53" s="18" t="s">
        <v>87</v>
      </c>
      <c r="B53" s="1"/>
      <c r="C53" s="72"/>
    </row>
    <row r="54" spans="1:4" ht="32.25" thickBot="1" x14ac:dyDescent="0.3">
      <c r="A54" s="24" t="s">
        <v>4</v>
      </c>
      <c r="B54" s="9" t="s">
        <v>88</v>
      </c>
      <c r="C54" s="77" t="s">
        <v>539</v>
      </c>
      <c r="D54" s="85" t="s">
        <v>540</v>
      </c>
    </row>
    <row r="55" spans="1:4" ht="16.5" thickBot="1" x14ac:dyDescent="0.3">
      <c r="A55" s="14" t="s">
        <v>3</v>
      </c>
      <c r="B55" s="9" t="s">
        <v>106</v>
      </c>
      <c r="C55" s="117">
        <f>C56+C57+C58+C59+C60+C66+C61</f>
        <v>870154800.91999996</v>
      </c>
      <c r="D55" s="118">
        <f>D56+D57+D58+D59+D60+D66</f>
        <v>1011739170</v>
      </c>
    </row>
    <row r="56" spans="1:4" x14ac:dyDescent="0.25">
      <c r="A56" s="21" t="s">
        <v>6</v>
      </c>
      <c r="B56" s="8" t="s">
        <v>89</v>
      </c>
      <c r="C56" s="63">
        <f>'12.Önk kiad'!D77</f>
        <v>507745628</v>
      </c>
      <c r="D56" s="63">
        <f>'12.Önk kiad'!E77</f>
        <v>552968342</v>
      </c>
    </row>
    <row r="57" spans="1:4" x14ac:dyDescent="0.25">
      <c r="A57" s="22" t="s">
        <v>7</v>
      </c>
      <c r="B57" s="4" t="s">
        <v>90</v>
      </c>
      <c r="C57" s="63">
        <f>'12.Önk kiad'!F77</f>
        <v>61188428.920000002</v>
      </c>
      <c r="D57" s="63">
        <f>'12.Önk kiad'!G77</f>
        <v>67701772</v>
      </c>
    </row>
    <row r="58" spans="1:4" x14ac:dyDescent="0.25">
      <c r="A58" s="22" t="s">
        <v>8</v>
      </c>
      <c r="B58" s="4" t="s">
        <v>91</v>
      </c>
      <c r="C58" s="63">
        <f>'12.Önk kiad'!H77</f>
        <v>239658936</v>
      </c>
      <c r="D58" s="63">
        <f>'12.Önk kiad'!I77</f>
        <v>235296153</v>
      </c>
    </row>
    <row r="59" spans="1:4" x14ac:dyDescent="0.25">
      <c r="A59" s="22" t="s">
        <v>9</v>
      </c>
      <c r="B59" s="4" t="s">
        <v>92</v>
      </c>
      <c r="C59" s="63">
        <f>'12.Önk kiad'!J77</f>
        <v>3900000</v>
      </c>
      <c r="D59" s="63">
        <f>'12.Önk kiad'!K77</f>
        <v>1942870</v>
      </c>
    </row>
    <row r="60" spans="1:4" x14ac:dyDescent="0.25">
      <c r="A60" s="22" t="s">
        <v>10</v>
      </c>
      <c r="B60" s="4" t="s">
        <v>93</v>
      </c>
      <c r="C60" s="63">
        <f>'12.Önk kiad'!L77+'12.Önk kiad'!N77</f>
        <v>24831170</v>
      </c>
      <c r="D60" s="63">
        <f>'12.Önk kiad'!M77+'12.Önk kiad'!O77+D63</f>
        <v>35656934</v>
      </c>
    </row>
    <row r="61" spans="1:4" x14ac:dyDescent="0.25">
      <c r="A61" s="22" t="s">
        <v>11</v>
      </c>
      <c r="B61" s="23" t="s">
        <v>288</v>
      </c>
      <c r="C61" s="121">
        <f>SUM(C62:C64)</f>
        <v>27830638</v>
      </c>
      <c r="D61" s="121">
        <f>SUM(D62:D64)</f>
        <v>23622879</v>
      </c>
    </row>
    <row r="62" spans="1:4" x14ac:dyDescent="0.25">
      <c r="A62" s="22" t="s">
        <v>95</v>
      </c>
      <c r="B62" s="4" t="s">
        <v>101</v>
      </c>
      <c r="C62" s="63"/>
      <c r="D62" s="121"/>
    </row>
    <row r="63" spans="1:4" x14ac:dyDescent="0.25">
      <c r="A63" s="22" t="s">
        <v>96</v>
      </c>
      <c r="B63" s="4" t="s">
        <v>136</v>
      </c>
      <c r="C63" s="121">
        <f>'12.Önk kiad'!R61</f>
        <v>27830638</v>
      </c>
      <c r="D63" s="121">
        <f>'12.Önk kiad'!S61</f>
        <v>23622879</v>
      </c>
    </row>
    <row r="64" spans="1:4" x14ac:dyDescent="0.25">
      <c r="A64" s="22" t="s">
        <v>97</v>
      </c>
      <c r="B64" s="4" t="s">
        <v>137</v>
      </c>
      <c r="C64" s="63">
        <f>'12.Önk kiad'!N77</f>
        <v>0</v>
      </c>
      <c r="D64" s="63">
        <f>'12.Önk kiad'!O77</f>
        <v>0</v>
      </c>
    </row>
    <row r="65" spans="1:5" x14ac:dyDescent="0.25">
      <c r="A65" s="22" t="s">
        <v>98</v>
      </c>
      <c r="B65" s="4" t="s">
        <v>138</v>
      </c>
      <c r="C65" s="63"/>
      <c r="D65" s="63"/>
    </row>
    <row r="66" spans="1:5" x14ac:dyDescent="0.25">
      <c r="A66" s="22" t="s">
        <v>99</v>
      </c>
      <c r="B66" s="4" t="s">
        <v>100</v>
      </c>
      <c r="C66" s="63">
        <f>'12.Önk kiad'!X77</f>
        <v>5000000</v>
      </c>
      <c r="D66" s="63">
        <f>'12.Önk kiad'!Y77</f>
        <v>118173099</v>
      </c>
    </row>
    <row r="67" spans="1:5" x14ac:dyDescent="0.25">
      <c r="A67" s="22" t="s">
        <v>102</v>
      </c>
      <c r="B67" s="4" t="s">
        <v>103</v>
      </c>
      <c r="C67" s="63">
        <v>5000000</v>
      </c>
      <c r="D67" s="63">
        <v>5000000</v>
      </c>
    </row>
    <row r="68" spans="1:5" ht="16.5" thickBot="1" x14ac:dyDescent="0.3">
      <c r="A68" s="25" t="s">
        <v>104</v>
      </c>
      <c r="B68" s="10" t="s">
        <v>105</v>
      </c>
      <c r="C68" s="63"/>
      <c r="D68" s="121"/>
    </row>
    <row r="69" spans="1:5" ht="16.5" thickBot="1" x14ac:dyDescent="0.3">
      <c r="A69" s="14" t="s">
        <v>5</v>
      </c>
      <c r="B69" s="9" t="s">
        <v>119</v>
      </c>
      <c r="C69" s="115">
        <f>C70+C72+C74</f>
        <v>15440048</v>
      </c>
      <c r="D69" s="118">
        <f>D70+D72+D74</f>
        <v>13654271</v>
      </c>
    </row>
    <row r="70" spans="1:5" x14ac:dyDescent="0.25">
      <c r="A70" s="21" t="s">
        <v>12</v>
      </c>
      <c r="B70" s="8" t="s">
        <v>107</v>
      </c>
      <c r="C70" s="63">
        <f>'12.Önk kiad'!T77</f>
        <v>13440048</v>
      </c>
      <c r="D70" s="63">
        <f>'12.Önk kiad'!U77</f>
        <v>7757979</v>
      </c>
    </row>
    <row r="71" spans="1:5" x14ac:dyDescent="0.25">
      <c r="A71" s="22" t="s">
        <v>108</v>
      </c>
      <c r="B71" s="4" t="s">
        <v>109</v>
      </c>
      <c r="C71" s="63"/>
      <c r="D71" s="63"/>
    </row>
    <row r="72" spans="1:5" x14ac:dyDescent="0.25">
      <c r="A72" s="22" t="s">
        <v>14</v>
      </c>
      <c r="B72" s="4" t="s">
        <v>110</v>
      </c>
      <c r="C72" s="63">
        <f>'12.Önk kiad'!V77</f>
        <v>2000000</v>
      </c>
      <c r="D72" s="63">
        <f>'12.Önk kiad'!W77</f>
        <v>5896292</v>
      </c>
    </row>
    <row r="73" spans="1:5" x14ac:dyDescent="0.25">
      <c r="A73" s="22" t="s">
        <v>111</v>
      </c>
      <c r="B73" s="4" t="s">
        <v>112</v>
      </c>
      <c r="C73" s="63"/>
      <c r="D73" s="121"/>
    </row>
    <row r="74" spans="1:5" x14ac:dyDescent="0.25">
      <c r="A74" s="22" t="s">
        <v>113</v>
      </c>
      <c r="B74" s="4" t="s">
        <v>114</v>
      </c>
      <c r="C74" s="63"/>
      <c r="D74" s="121"/>
    </row>
    <row r="75" spans="1:5" x14ac:dyDescent="0.25">
      <c r="A75" s="22" t="s">
        <v>115</v>
      </c>
      <c r="B75" s="4" t="s">
        <v>116</v>
      </c>
      <c r="C75" s="63"/>
      <c r="D75" s="121"/>
    </row>
    <row r="76" spans="1:5" ht="16.5" thickBot="1" x14ac:dyDescent="0.3">
      <c r="A76" s="25" t="s">
        <v>117</v>
      </c>
      <c r="B76" s="10" t="s">
        <v>118</v>
      </c>
      <c r="C76" s="63"/>
      <c r="D76" s="121"/>
    </row>
    <row r="77" spans="1:5" ht="16.5" thickBot="1" x14ac:dyDescent="0.3">
      <c r="A77" s="14" t="s">
        <v>15</v>
      </c>
      <c r="B77" s="9" t="s">
        <v>120</v>
      </c>
      <c r="C77" s="115">
        <f>C55+C69</f>
        <v>885594848.91999996</v>
      </c>
      <c r="D77" s="118">
        <f>D55+D69</f>
        <v>1025393441</v>
      </c>
    </row>
    <row r="78" spans="1:5" ht="16.5" thickBot="1" x14ac:dyDescent="0.3">
      <c r="A78" s="14" t="s">
        <v>20</v>
      </c>
      <c r="B78" s="9" t="s">
        <v>124</v>
      </c>
      <c r="C78" s="131">
        <f>SUM(C79:C81)</f>
        <v>66903444</v>
      </c>
      <c r="D78" s="131">
        <f>SUM(D79:D81)</f>
        <v>304595455</v>
      </c>
    </row>
    <row r="79" spans="1:5" x14ac:dyDescent="0.25">
      <c r="A79" s="21" t="s">
        <v>22</v>
      </c>
      <c r="B79" s="8" t="s">
        <v>121</v>
      </c>
      <c r="C79" s="63">
        <f>'12.Önk kiad'!Z22</f>
        <v>16903444</v>
      </c>
      <c r="D79" s="63">
        <f>'12.Önk kiad'!AA22</f>
        <v>16903444</v>
      </c>
      <c r="E79" s="63"/>
    </row>
    <row r="80" spans="1:5" x14ac:dyDescent="0.25">
      <c r="A80" s="22" t="s">
        <v>26</v>
      </c>
      <c r="B80" s="4" t="s">
        <v>122</v>
      </c>
      <c r="C80" s="63">
        <v>50000000</v>
      </c>
      <c r="D80" s="63">
        <f>'12.Önk kiad'!AA23</f>
        <v>287692011</v>
      </c>
    </row>
    <row r="81" spans="1:7" ht="16.5" thickBot="1" x14ac:dyDescent="0.3">
      <c r="A81" s="25" t="s">
        <v>27</v>
      </c>
      <c r="B81" s="10" t="s">
        <v>123</v>
      </c>
      <c r="C81" s="63"/>
      <c r="D81" s="125"/>
    </row>
    <row r="82" spans="1:7" ht="16.5" thickBot="1" x14ac:dyDescent="0.3">
      <c r="A82" s="28" t="s">
        <v>29</v>
      </c>
      <c r="B82" s="29" t="s">
        <v>125</v>
      </c>
      <c r="C82" s="118"/>
      <c r="D82" s="130"/>
    </row>
    <row r="83" spans="1:7" ht="16.5" thickBot="1" x14ac:dyDescent="0.3">
      <c r="A83" s="14" t="s">
        <v>51</v>
      </c>
      <c r="B83" s="9" t="s">
        <v>128</v>
      </c>
      <c r="C83" s="115">
        <f>C84</f>
        <v>16898319</v>
      </c>
      <c r="D83" s="118">
        <f>D84</f>
        <v>17613632</v>
      </c>
    </row>
    <row r="84" spans="1:7" ht="16.5" thickBot="1" x14ac:dyDescent="0.3">
      <c r="A84" s="26" t="s">
        <v>126</v>
      </c>
      <c r="B84" s="27" t="s">
        <v>127</v>
      </c>
      <c r="C84" s="129">
        <f>'12.Önk kiad'!Z20</f>
        <v>16898319</v>
      </c>
      <c r="D84" s="129">
        <f>'12.Önk kiad'!AA20</f>
        <v>17613632</v>
      </c>
    </row>
    <row r="85" spans="1:7" ht="16.5" thickBot="1" x14ac:dyDescent="0.3">
      <c r="A85" s="14" t="s">
        <v>53</v>
      </c>
      <c r="B85" s="9" t="s">
        <v>129</v>
      </c>
      <c r="C85" s="115"/>
      <c r="D85" s="130"/>
    </row>
    <row r="86" spans="1:7" ht="16.5" thickBot="1" x14ac:dyDescent="0.3">
      <c r="A86" s="14" t="s">
        <v>55</v>
      </c>
      <c r="B86" s="9" t="s">
        <v>130</v>
      </c>
      <c r="C86" s="115"/>
      <c r="D86" s="130"/>
    </row>
    <row r="87" spans="1:7" ht="16.5" thickBot="1" x14ac:dyDescent="0.3">
      <c r="A87" s="14" t="s">
        <v>131</v>
      </c>
      <c r="B87" s="9" t="s">
        <v>132</v>
      </c>
      <c r="C87" s="115"/>
      <c r="D87" s="130"/>
    </row>
    <row r="88" spans="1:7" ht="16.5" thickBot="1" x14ac:dyDescent="0.3">
      <c r="A88" s="14" t="s">
        <v>58</v>
      </c>
      <c r="B88" s="9" t="s">
        <v>133</v>
      </c>
      <c r="C88" s="115">
        <f>C78+C82+C83+C85+C86+C87</f>
        <v>83801763</v>
      </c>
      <c r="D88" s="118">
        <f>D78+D82+D83+D85+D86+D87</f>
        <v>322209087</v>
      </c>
    </row>
    <row r="89" spans="1:7" ht="16.5" thickBot="1" x14ac:dyDescent="0.3">
      <c r="A89" s="14" t="s">
        <v>66</v>
      </c>
      <c r="B89" s="9" t="s">
        <v>134</v>
      </c>
      <c r="C89" s="115">
        <f>C77+C88</f>
        <v>969396611.91999996</v>
      </c>
      <c r="D89" s="118">
        <f>D77+D88</f>
        <v>1347602528</v>
      </c>
      <c r="E89" s="66">
        <f>D89-C89</f>
        <v>378205916.08000004</v>
      </c>
      <c r="G89" s="66"/>
    </row>
    <row r="91" spans="1:7" s="30" customFormat="1" ht="29.25" customHeight="1" x14ac:dyDescent="0.25">
      <c r="A91" s="314" t="s">
        <v>139</v>
      </c>
      <c r="B91" s="314"/>
      <c r="C91" s="314"/>
      <c r="D91" s="86"/>
    </row>
    <row r="92" spans="1:7" ht="16.5" thickBot="1" x14ac:dyDescent="0.3">
      <c r="A92" s="18" t="s">
        <v>140</v>
      </c>
      <c r="B92" s="1"/>
      <c r="C92" s="69"/>
    </row>
    <row r="93" spans="1:7" ht="32.25" thickBot="1" x14ac:dyDescent="0.3">
      <c r="A93" s="14" t="s">
        <v>3</v>
      </c>
      <c r="B93" s="11" t="s">
        <v>141</v>
      </c>
      <c r="C93" s="131">
        <f>C36-C77</f>
        <v>430688106.08000004</v>
      </c>
      <c r="D93" s="118">
        <f>D36-D77</f>
        <v>181370082</v>
      </c>
    </row>
    <row r="94" spans="1:7" ht="32.25" thickBot="1" x14ac:dyDescent="0.3">
      <c r="A94" s="14" t="s">
        <v>5</v>
      </c>
      <c r="B94" s="11" t="s">
        <v>142</v>
      </c>
      <c r="C94" s="131">
        <f>C49-C88</f>
        <v>-19542842</v>
      </c>
      <c r="D94" s="118">
        <f>D49-D88</f>
        <v>11014728</v>
      </c>
    </row>
  </sheetData>
  <mergeCells count="6">
    <mergeCell ref="A91:C91"/>
    <mergeCell ref="A52:C52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5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E92"/>
  <sheetViews>
    <sheetView workbookViewId="0">
      <selection activeCell="F9" sqref="F9"/>
    </sheetView>
  </sheetViews>
  <sheetFormatPr defaultRowHeight="15.75" x14ac:dyDescent="0.25"/>
  <cols>
    <col min="1" max="1" width="6.85546875" style="12" customWidth="1"/>
    <col min="2" max="2" width="60.42578125" style="2" customWidth="1"/>
    <col min="3" max="3" width="15.28515625" style="71" customWidth="1"/>
    <col min="4" max="4" width="15.7109375" style="2" customWidth="1"/>
    <col min="5" max="5" width="12.140625" style="2" bestFit="1" customWidth="1"/>
    <col min="6" max="16384" width="9.140625" style="2"/>
  </cols>
  <sheetData>
    <row r="1" spans="1:4" x14ac:dyDescent="0.25">
      <c r="A1" s="316" t="s">
        <v>607</v>
      </c>
      <c r="B1" s="316"/>
      <c r="C1" s="316"/>
      <c r="D1" s="316"/>
    </row>
    <row r="2" spans="1:4" s="1" customFormat="1" x14ac:dyDescent="0.25">
      <c r="A2" s="315" t="s">
        <v>0</v>
      </c>
      <c r="B2" s="315"/>
      <c r="C2" s="315"/>
      <c r="D2" s="315"/>
    </row>
    <row r="3" spans="1:4" s="1" customFormat="1" ht="44.25" customHeight="1" x14ac:dyDescent="0.25">
      <c r="A3" s="317" t="s">
        <v>558</v>
      </c>
      <c r="B3" s="317"/>
      <c r="C3" s="317"/>
      <c r="D3" s="317"/>
    </row>
    <row r="4" spans="1:4" s="1" customFormat="1" x14ac:dyDescent="0.25">
      <c r="A4" s="315" t="s">
        <v>1</v>
      </c>
      <c r="B4" s="315"/>
      <c r="C4" s="315"/>
      <c r="D4" s="315"/>
    </row>
    <row r="5" spans="1:4" s="1" customFormat="1" ht="16.5" thickBot="1" x14ac:dyDescent="0.3">
      <c r="A5" s="18"/>
      <c r="C5" s="69"/>
    </row>
    <row r="6" spans="1:4" s="3" customFormat="1" ht="16.5" thickBot="1" x14ac:dyDescent="0.3">
      <c r="A6" s="5" t="s">
        <v>147</v>
      </c>
      <c r="B6" s="6" t="s">
        <v>170</v>
      </c>
      <c r="C6" s="76" t="s">
        <v>148</v>
      </c>
      <c r="D6" s="78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7" t="s">
        <v>539</v>
      </c>
      <c r="D7" s="85" t="s">
        <v>540</v>
      </c>
    </row>
    <row r="8" spans="1:4" s="1" customFormat="1" ht="16.5" thickBot="1" x14ac:dyDescent="0.3">
      <c r="A8" s="14" t="s">
        <v>3</v>
      </c>
      <c r="B8" s="9" t="s">
        <v>16</v>
      </c>
      <c r="C8" s="117">
        <f>SUM(C9:C14)</f>
        <v>105524308</v>
      </c>
      <c r="D8" s="118">
        <f>SUM(D9:D14)</f>
        <v>96803518</v>
      </c>
    </row>
    <row r="9" spans="1:4" x14ac:dyDescent="0.25">
      <c r="A9" s="15" t="s">
        <v>6</v>
      </c>
      <c r="B9" s="8" t="s">
        <v>30</v>
      </c>
      <c r="C9" s="119"/>
      <c r="D9" s="121"/>
    </row>
    <row r="10" spans="1:4" x14ac:dyDescent="0.25">
      <c r="A10" s="16" t="s">
        <v>7</v>
      </c>
      <c r="B10" s="4" t="s">
        <v>31</v>
      </c>
      <c r="C10" s="120"/>
      <c r="D10" s="121"/>
    </row>
    <row r="11" spans="1:4" x14ac:dyDescent="0.25">
      <c r="A11" s="16" t="s">
        <v>8</v>
      </c>
      <c r="B11" s="4" t="s">
        <v>269</v>
      </c>
      <c r="C11" s="120">
        <f>'7.Önk bev.'!I16</f>
        <v>105524308</v>
      </c>
      <c r="D11" s="120">
        <f>'7.Önk bev.'!J16</f>
        <v>96803518</v>
      </c>
    </row>
    <row r="12" spans="1:4" x14ac:dyDescent="0.25">
      <c r="A12" s="16" t="s">
        <v>9</v>
      </c>
      <c r="B12" s="4" t="s">
        <v>33</v>
      </c>
      <c r="C12" s="120"/>
      <c r="D12" s="121"/>
    </row>
    <row r="13" spans="1:4" x14ac:dyDescent="0.25">
      <c r="A13" s="16" t="s">
        <v>10</v>
      </c>
      <c r="B13" s="4" t="s">
        <v>34</v>
      </c>
      <c r="C13" s="120"/>
      <c r="D13" s="121"/>
    </row>
    <row r="14" spans="1:4" ht="16.5" thickBot="1" x14ac:dyDescent="0.3">
      <c r="A14" s="17" t="s">
        <v>11</v>
      </c>
      <c r="B14" s="10" t="s">
        <v>281</v>
      </c>
      <c r="C14" s="122"/>
      <c r="D14" s="121"/>
    </row>
    <row r="15" spans="1:4" s="1" customFormat="1" ht="16.5" thickBot="1" x14ac:dyDescent="0.3">
      <c r="A15" s="14" t="s">
        <v>5</v>
      </c>
      <c r="B15" s="9" t="s">
        <v>39</v>
      </c>
      <c r="C15" s="117">
        <f>SUM(C16:C17)</f>
        <v>1066800</v>
      </c>
      <c r="D15" s="118">
        <f>SUM(D16:D17)</f>
        <v>20342800</v>
      </c>
    </row>
    <row r="16" spans="1:4" x14ac:dyDescent="0.25">
      <c r="A16" s="15" t="s">
        <v>12</v>
      </c>
      <c r="B16" s="8" t="s">
        <v>36</v>
      </c>
      <c r="C16" s="119"/>
      <c r="D16" s="121"/>
    </row>
    <row r="17" spans="1:4" x14ac:dyDescent="0.25">
      <c r="A17" s="16" t="s">
        <v>13</v>
      </c>
      <c r="B17" s="4" t="s">
        <v>388</v>
      </c>
      <c r="C17" s="120">
        <f>'7.Önk bev.'!M47</f>
        <v>1066800</v>
      </c>
      <c r="D17" s="120">
        <f>'7.Önk bev.'!N47</f>
        <v>20342800</v>
      </c>
    </row>
    <row r="18" spans="1:4" ht="16.5" thickBot="1" x14ac:dyDescent="0.3">
      <c r="A18" s="17" t="s">
        <v>14</v>
      </c>
      <c r="B18" s="10" t="s">
        <v>38</v>
      </c>
      <c r="C18" s="122"/>
      <c r="D18" s="121"/>
    </row>
    <row r="19" spans="1:4" s="1" customFormat="1" ht="16.5" thickBot="1" x14ac:dyDescent="0.3">
      <c r="A19" s="14" t="s">
        <v>15</v>
      </c>
      <c r="B19" s="9" t="s">
        <v>43</v>
      </c>
      <c r="C19" s="117">
        <f>SUM(C20:C21)</f>
        <v>567903884</v>
      </c>
      <c r="D19" s="118">
        <f>SUM(D20:D21)</f>
        <v>96473160</v>
      </c>
    </row>
    <row r="20" spans="1:4" x14ac:dyDescent="0.25">
      <c r="A20" s="15" t="s">
        <v>17</v>
      </c>
      <c r="B20" s="8" t="s">
        <v>40</v>
      </c>
      <c r="C20" s="119">
        <f>'7.Önk bev.'!K64</f>
        <v>0</v>
      </c>
      <c r="D20" s="121"/>
    </row>
    <row r="21" spans="1:4" x14ac:dyDescent="0.25">
      <c r="A21" s="16" t="s">
        <v>18</v>
      </c>
      <c r="B21" s="4" t="s">
        <v>390</v>
      </c>
      <c r="C21" s="120">
        <f>'7.Önk bev.'!O47</f>
        <v>567903884</v>
      </c>
      <c r="D21" s="120">
        <f>'7.Önk bev.'!P47</f>
        <v>96473160</v>
      </c>
    </row>
    <row r="22" spans="1:4" ht="16.5" thickBot="1" x14ac:dyDescent="0.3">
      <c r="A22" s="17" t="s">
        <v>19</v>
      </c>
      <c r="B22" s="10" t="s">
        <v>42</v>
      </c>
      <c r="C22" s="122"/>
      <c r="D22" s="122"/>
    </row>
    <row r="23" spans="1:4" s="1" customFormat="1" ht="16.5" thickBot="1" x14ac:dyDescent="0.3">
      <c r="A23" s="14" t="s">
        <v>20</v>
      </c>
      <c r="B23" s="9" t="s">
        <v>21</v>
      </c>
      <c r="C23" s="117">
        <f>C24+C27+C28+C29</f>
        <v>0</v>
      </c>
      <c r="D23" s="118">
        <f>D24+D27+D28+D29</f>
        <v>0</v>
      </c>
    </row>
    <row r="24" spans="1:4" x14ac:dyDescent="0.25">
      <c r="A24" s="15" t="s">
        <v>22</v>
      </c>
      <c r="B24" s="8" t="s">
        <v>44</v>
      </c>
      <c r="C24" s="119">
        <f>C25+C26</f>
        <v>0</v>
      </c>
      <c r="D24" s="123"/>
    </row>
    <row r="25" spans="1:4" x14ac:dyDescent="0.25">
      <c r="A25" s="16" t="s">
        <v>23</v>
      </c>
      <c r="B25" s="4" t="s">
        <v>45</v>
      </c>
      <c r="C25" s="120"/>
      <c r="D25" s="121"/>
    </row>
    <row r="26" spans="1:4" x14ac:dyDescent="0.25">
      <c r="A26" s="16" t="s">
        <v>25</v>
      </c>
      <c r="B26" s="4" t="s">
        <v>46</v>
      </c>
      <c r="C26" s="120"/>
      <c r="D26" s="121"/>
    </row>
    <row r="27" spans="1:4" x14ac:dyDescent="0.25">
      <c r="A27" s="16" t="s">
        <v>26</v>
      </c>
      <c r="B27" s="4" t="s">
        <v>47</v>
      </c>
      <c r="C27" s="120"/>
      <c r="D27" s="121"/>
    </row>
    <row r="28" spans="1:4" x14ac:dyDescent="0.25">
      <c r="A28" s="16" t="s">
        <v>27</v>
      </c>
      <c r="B28" s="4" t="s">
        <v>48</v>
      </c>
      <c r="C28" s="120"/>
      <c r="D28" s="121"/>
    </row>
    <row r="29" spans="1:4" ht="16.5" thickBot="1" x14ac:dyDescent="0.3">
      <c r="A29" s="17" t="s">
        <v>28</v>
      </c>
      <c r="B29" s="10" t="s">
        <v>49</v>
      </c>
      <c r="C29" s="122"/>
      <c r="D29" s="125"/>
    </row>
    <row r="30" spans="1:4" s="1" customFormat="1" ht="16.5" thickBot="1" x14ac:dyDescent="0.3">
      <c r="A30" s="14" t="s">
        <v>29</v>
      </c>
      <c r="B30" s="9" t="s">
        <v>392</v>
      </c>
      <c r="C30" s="117">
        <f>'7.Önk bev.'!E64</f>
        <v>47343139</v>
      </c>
      <c r="D30" s="117">
        <f>'7.Önk bev.'!F64</f>
        <v>48429366</v>
      </c>
    </row>
    <row r="31" spans="1:4" s="1" customFormat="1" ht="16.5" thickBot="1" x14ac:dyDescent="0.3">
      <c r="A31" s="19" t="s">
        <v>51</v>
      </c>
      <c r="B31" s="20" t="s">
        <v>52</v>
      </c>
      <c r="C31" s="124"/>
      <c r="D31" s="134"/>
    </row>
    <row r="32" spans="1:4" s="1" customFormat="1" ht="16.5" thickBot="1" x14ac:dyDescent="0.3">
      <c r="A32" s="14" t="s">
        <v>53</v>
      </c>
      <c r="B32" s="9" t="s">
        <v>159</v>
      </c>
      <c r="C32" s="117"/>
      <c r="D32" s="117"/>
    </row>
    <row r="33" spans="1:4" s="1" customFormat="1" ht="16.5" thickBot="1" x14ac:dyDescent="0.3">
      <c r="A33" s="14" t="s">
        <v>55</v>
      </c>
      <c r="B33" s="9" t="s">
        <v>56</v>
      </c>
      <c r="C33" s="117"/>
      <c r="D33" s="64"/>
    </row>
    <row r="34" spans="1:4" s="1" customFormat="1" ht="16.5" thickBot="1" x14ac:dyDescent="0.3">
      <c r="A34" s="14" t="s">
        <v>57</v>
      </c>
      <c r="B34" s="9" t="s">
        <v>135</v>
      </c>
      <c r="C34" s="117">
        <f>C8+C15+C19+C23+C30+C31+C32+C33</f>
        <v>721838131</v>
      </c>
      <c r="D34" s="118">
        <f>D8+D15+D19+D23+D30+D31+D32+D33</f>
        <v>262048844</v>
      </c>
    </row>
    <row r="35" spans="1:4" s="1" customFormat="1" ht="16.5" thickBot="1" x14ac:dyDescent="0.3">
      <c r="A35" s="14" t="s">
        <v>58</v>
      </c>
      <c r="B35" s="9" t="s">
        <v>59</v>
      </c>
      <c r="C35" s="117">
        <f>SUM(C36:C38)</f>
        <v>0</v>
      </c>
      <c r="D35" s="118">
        <f>SUM(D36:D38)</f>
        <v>0</v>
      </c>
    </row>
    <row r="36" spans="1:4" x14ac:dyDescent="0.25">
      <c r="A36" s="15" t="s">
        <v>60</v>
      </c>
      <c r="B36" s="8" t="s">
        <v>61</v>
      </c>
      <c r="C36" s="119"/>
      <c r="D36" s="119"/>
    </row>
    <row r="37" spans="1:4" x14ac:dyDescent="0.25">
      <c r="A37" s="16" t="s">
        <v>62</v>
      </c>
      <c r="B37" s="4" t="s">
        <v>63</v>
      </c>
      <c r="C37" s="120"/>
      <c r="D37" s="121"/>
    </row>
    <row r="38" spans="1:4" ht="16.5" thickBot="1" x14ac:dyDescent="0.3">
      <c r="A38" s="17" t="s">
        <v>64</v>
      </c>
      <c r="B38" s="10" t="s">
        <v>65</v>
      </c>
      <c r="C38" s="122"/>
      <c r="D38" s="125"/>
    </row>
    <row r="39" spans="1:4" s="1" customFormat="1" ht="16.5" thickBot="1" x14ac:dyDescent="0.3">
      <c r="A39" s="14" t="s">
        <v>66</v>
      </c>
      <c r="B39" s="9" t="s">
        <v>67</v>
      </c>
      <c r="C39" s="117"/>
      <c r="D39" s="118"/>
    </row>
    <row r="40" spans="1:4" s="1" customFormat="1" ht="16.5" thickBot="1" x14ac:dyDescent="0.3">
      <c r="A40" s="14" t="s">
        <v>68</v>
      </c>
      <c r="B40" s="9" t="s">
        <v>290</v>
      </c>
      <c r="C40" s="117">
        <f>'7.Önk bev.'!U64</f>
        <v>18616204</v>
      </c>
      <c r="D40" s="117">
        <f>'7.Önk bev.'!V64</f>
        <v>19065683</v>
      </c>
    </row>
    <row r="41" spans="1:4" s="1" customFormat="1" ht="16.5" thickBot="1" x14ac:dyDescent="0.3">
      <c r="A41" s="14" t="s">
        <v>70</v>
      </c>
      <c r="B41" s="9" t="s">
        <v>71</v>
      </c>
      <c r="C41" s="117">
        <f>C42+C43</f>
        <v>0</v>
      </c>
      <c r="D41" s="118">
        <f>D42+D43</f>
        <v>0</v>
      </c>
    </row>
    <row r="42" spans="1:4" x14ac:dyDescent="0.25">
      <c r="A42" s="15" t="s">
        <v>72</v>
      </c>
      <c r="B42" s="8" t="s">
        <v>73</v>
      </c>
      <c r="C42" s="119"/>
      <c r="D42" s="121"/>
    </row>
    <row r="43" spans="1:4" ht="16.5" thickBot="1" x14ac:dyDescent="0.3">
      <c r="A43" s="17" t="s">
        <v>74</v>
      </c>
      <c r="B43" s="10" t="s">
        <v>75</v>
      </c>
      <c r="C43" s="122"/>
      <c r="D43" s="125"/>
    </row>
    <row r="44" spans="1:4" s="1" customFormat="1" ht="16.5" thickBot="1" x14ac:dyDescent="0.3">
      <c r="A44" s="14" t="s">
        <v>76</v>
      </c>
      <c r="B44" s="9" t="s">
        <v>77</v>
      </c>
      <c r="C44" s="117"/>
      <c r="D44" s="118"/>
    </row>
    <row r="45" spans="1:4" s="1" customFormat="1" ht="16.5" thickBot="1" x14ac:dyDescent="0.3">
      <c r="A45" s="14" t="s">
        <v>78</v>
      </c>
      <c r="B45" s="9" t="s">
        <v>79</v>
      </c>
      <c r="C45" s="117"/>
      <c r="D45" s="118"/>
    </row>
    <row r="46" spans="1:4" s="1" customFormat="1" ht="16.5" thickBot="1" x14ac:dyDescent="0.3">
      <c r="A46" s="14" t="s">
        <v>80</v>
      </c>
      <c r="B46" s="9" t="s">
        <v>81</v>
      </c>
      <c r="C46" s="117"/>
      <c r="D46" s="118"/>
    </row>
    <row r="47" spans="1:4" s="1" customFormat="1" ht="16.5" thickBot="1" x14ac:dyDescent="0.3">
      <c r="A47" s="14" t="s">
        <v>82</v>
      </c>
      <c r="B47" s="9" t="s">
        <v>83</v>
      </c>
      <c r="C47" s="117">
        <f>C35+C39+C40+C41+C44+C45+C46</f>
        <v>18616204</v>
      </c>
      <c r="D47" s="118">
        <f>D35+D39+D40+D41+D44+D45+D46</f>
        <v>19065683</v>
      </c>
    </row>
    <row r="48" spans="1:4" s="1" customFormat="1" ht="32.25" thickBot="1" x14ac:dyDescent="0.3">
      <c r="A48" s="14" t="s">
        <v>84</v>
      </c>
      <c r="B48" s="82" t="s">
        <v>85</v>
      </c>
      <c r="C48" s="118">
        <f>C34+C47</f>
        <v>740454335</v>
      </c>
      <c r="D48" s="118">
        <f>D34+D47</f>
        <v>281114527</v>
      </c>
    </row>
    <row r="49" spans="1:4" x14ac:dyDescent="0.25">
      <c r="C49" s="70"/>
    </row>
    <row r="50" spans="1:4" x14ac:dyDescent="0.25">
      <c r="A50" s="315" t="s">
        <v>86</v>
      </c>
      <c r="B50" s="315"/>
      <c r="C50" s="315"/>
    </row>
    <row r="51" spans="1:4" ht="16.5" thickBot="1" x14ac:dyDescent="0.3">
      <c r="A51" s="18" t="s">
        <v>87</v>
      </c>
      <c r="B51" s="1"/>
      <c r="C51" s="70"/>
    </row>
    <row r="52" spans="1:4" ht="32.25" thickBot="1" x14ac:dyDescent="0.3">
      <c r="A52" s="24" t="s">
        <v>4</v>
      </c>
      <c r="B52" s="9" t="s">
        <v>88</v>
      </c>
      <c r="C52" s="77" t="s">
        <v>539</v>
      </c>
      <c r="D52" s="85" t="s">
        <v>540</v>
      </c>
    </row>
    <row r="53" spans="1:4" ht="16.5" thickBot="1" x14ac:dyDescent="0.3">
      <c r="A53" s="14" t="s">
        <v>3</v>
      </c>
      <c r="B53" s="9" t="s">
        <v>106</v>
      </c>
      <c r="C53" s="117">
        <f>C54+C55+C56+C57+C58+C64</f>
        <v>366604257.37</v>
      </c>
      <c r="D53" s="118">
        <f>D54+D55+D56+D57+D58+D64</f>
        <v>258407739</v>
      </c>
    </row>
    <row r="54" spans="1:4" x14ac:dyDescent="0.25">
      <c r="A54" s="21" t="s">
        <v>6</v>
      </c>
      <c r="B54" s="8" t="s">
        <v>89</v>
      </c>
      <c r="C54" s="63">
        <f>'12.Önk kiad'!D79</f>
        <v>104712649</v>
      </c>
      <c r="D54" s="63">
        <f>'12.Önk kiad'!E79</f>
        <v>114389176</v>
      </c>
    </row>
    <row r="55" spans="1:4" x14ac:dyDescent="0.25">
      <c r="A55" s="22" t="s">
        <v>7</v>
      </c>
      <c r="B55" s="4" t="s">
        <v>90</v>
      </c>
      <c r="C55" s="121">
        <f>'12.Önk kiad'!F79</f>
        <v>13482644.369999999</v>
      </c>
      <c r="D55" s="121">
        <f>'12.Önk kiad'!G79</f>
        <v>15215933</v>
      </c>
    </row>
    <row r="56" spans="1:4" x14ac:dyDescent="0.25">
      <c r="A56" s="22" t="s">
        <v>8</v>
      </c>
      <c r="B56" s="4" t="s">
        <v>91</v>
      </c>
      <c r="C56" s="121">
        <f>'12.Önk kiad'!H79</f>
        <v>179688373</v>
      </c>
      <c r="D56" s="121">
        <f>'12.Önk kiad'!I79</f>
        <v>128310130</v>
      </c>
    </row>
    <row r="57" spans="1:4" x14ac:dyDescent="0.25">
      <c r="A57" s="22" t="s">
        <v>9</v>
      </c>
      <c r="B57" s="4" t="s">
        <v>92</v>
      </c>
      <c r="C57" s="121"/>
      <c r="D57" s="121"/>
    </row>
    <row r="58" spans="1:4" x14ac:dyDescent="0.25">
      <c r="A58" s="22" t="s">
        <v>10</v>
      </c>
      <c r="B58" s="4" t="s">
        <v>93</v>
      </c>
      <c r="C58" s="121">
        <f>SUM(C59:C63)</f>
        <v>68720591</v>
      </c>
      <c r="D58" s="121">
        <f>SUM(D59:D63)</f>
        <v>492500</v>
      </c>
    </row>
    <row r="59" spans="1:4" x14ac:dyDescent="0.25">
      <c r="A59" s="22" t="s">
        <v>11</v>
      </c>
      <c r="B59" s="23" t="s">
        <v>288</v>
      </c>
      <c r="C59" s="121"/>
      <c r="D59" s="121"/>
    </row>
    <row r="60" spans="1:4" x14ac:dyDescent="0.25">
      <c r="A60" s="22" t="s">
        <v>95</v>
      </c>
      <c r="B60" s="4" t="s">
        <v>101</v>
      </c>
      <c r="C60" s="121"/>
      <c r="D60" s="121"/>
    </row>
    <row r="61" spans="1:4" x14ac:dyDescent="0.25">
      <c r="A61" s="22" t="s">
        <v>96</v>
      </c>
      <c r="B61" s="4" t="s">
        <v>136</v>
      </c>
      <c r="C61" s="121"/>
      <c r="D61" s="121"/>
    </row>
    <row r="62" spans="1:4" x14ac:dyDescent="0.25">
      <c r="A62" s="22" t="s">
        <v>97</v>
      </c>
      <c r="B62" s="4" t="s">
        <v>137</v>
      </c>
      <c r="C62" s="121">
        <f>'12.Önk kiad'!N79</f>
        <v>68720591</v>
      </c>
      <c r="D62" s="121">
        <f>'12.Önk kiad'!O79</f>
        <v>492500</v>
      </c>
    </row>
    <row r="63" spans="1:4" x14ac:dyDescent="0.25">
      <c r="A63" s="22" t="s">
        <v>98</v>
      </c>
      <c r="B63" s="4" t="s">
        <v>138</v>
      </c>
      <c r="C63" s="121">
        <f>'12.Önk kiad'!L79</f>
        <v>0</v>
      </c>
      <c r="D63" s="121">
        <f>'12.Önk kiad'!M79</f>
        <v>0</v>
      </c>
    </row>
    <row r="64" spans="1:4" x14ac:dyDescent="0.25">
      <c r="A64" s="22" t="s">
        <v>99</v>
      </c>
      <c r="B64" s="4" t="s">
        <v>100</v>
      </c>
      <c r="C64" s="121">
        <v>0</v>
      </c>
      <c r="D64" s="121">
        <f>'12.Önk kiad'!Y79</f>
        <v>0</v>
      </c>
    </row>
    <row r="65" spans="1:4" x14ac:dyDescent="0.25">
      <c r="A65" s="22" t="s">
        <v>102</v>
      </c>
      <c r="B65" s="4" t="s">
        <v>103</v>
      </c>
      <c r="C65" s="121"/>
      <c r="D65" s="121">
        <v>0</v>
      </c>
    </row>
    <row r="66" spans="1:4" ht="16.5" thickBot="1" x14ac:dyDescent="0.3">
      <c r="A66" s="25" t="s">
        <v>104</v>
      </c>
      <c r="B66" s="10" t="s">
        <v>105</v>
      </c>
      <c r="C66" s="125"/>
      <c r="D66" s="121"/>
    </row>
    <row r="67" spans="1:4" ht="16.5" thickBot="1" x14ac:dyDescent="0.3">
      <c r="A67" s="14" t="s">
        <v>5</v>
      </c>
      <c r="B67" s="9" t="s">
        <v>119</v>
      </c>
      <c r="C67" s="117">
        <f>C68+C70+C72</f>
        <v>737987342</v>
      </c>
      <c r="D67" s="118">
        <f>D68+D70+D72</f>
        <v>168083598</v>
      </c>
    </row>
    <row r="68" spans="1:4" x14ac:dyDescent="0.25">
      <c r="A68" s="21" t="s">
        <v>12</v>
      </c>
      <c r="B68" s="8" t="s">
        <v>107</v>
      </c>
      <c r="C68" s="63">
        <f>'12.Önk kiad'!T79</f>
        <v>494045149</v>
      </c>
      <c r="D68" s="63">
        <f>'12.Önk kiad'!U79</f>
        <v>544380</v>
      </c>
    </row>
    <row r="69" spans="1:4" x14ac:dyDescent="0.25">
      <c r="A69" s="22" t="s">
        <v>108</v>
      </c>
      <c r="B69" s="4" t="s">
        <v>109</v>
      </c>
      <c r="C69" s="121"/>
      <c r="D69" s="121"/>
    </row>
    <row r="70" spans="1:4" x14ac:dyDescent="0.25">
      <c r="A70" s="22" t="s">
        <v>14</v>
      </c>
      <c r="B70" s="4" t="s">
        <v>110</v>
      </c>
      <c r="C70" s="121">
        <f>'12.Önk kiad'!V79</f>
        <v>242315758</v>
      </c>
      <c r="D70" s="121">
        <f>'12.Önk kiad'!W79</f>
        <v>156348026</v>
      </c>
    </row>
    <row r="71" spans="1:4" x14ac:dyDescent="0.25">
      <c r="A71" s="22" t="s">
        <v>111</v>
      </c>
      <c r="B71" s="4" t="s">
        <v>112</v>
      </c>
      <c r="C71" s="121"/>
      <c r="D71" s="121"/>
    </row>
    <row r="72" spans="1:4" x14ac:dyDescent="0.25">
      <c r="A72" s="22" t="s">
        <v>113</v>
      </c>
      <c r="B72" s="4" t="s">
        <v>114</v>
      </c>
      <c r="C72" s="121">
        <f>'12.Önk kiad'!P79</f>
        <v>1626435</v>
      </c>
      <c r="D72" s="121">
        <f>'12.Önk kiad'!Q79</f>
        <v>11191192</v>
      </c>
    </row>
    <row r="73" spans="1:4" x14ac:dyDescent="0.25">
      <c r="A73" s="22" t="s">
        <v>115</v>
      </c>
      <c r="B73" s="4" t="s">
        <v>116</v>
      </c>
      <c r="C73" s="121">
        <f>'12.Önk kiad'!R79</f>
        <v>0</v>
      </c>
      <c r="D73" s="121">
        <f>'12.Önk kiad'!S79</f>
        <v>0</v>
      </c>
    </row>
    <row r="74" spans="1:4" ht="16.5" thickBot="1" x14ac:dyDescent="0.3">
      <c r="A74" s="25" t="s">
        <v>117</v>
      </c>
      <c r="B74" s="10" t="s">
        <v>118</v>
      </c>
      <c r="C74" s="125"/>
      <c r="D74" s="121"/>
    </row>
    <row r="75" spans="1:4" ht="16.5" thickBot="1" x14ac:dyDescent="0.3">
      <c r="A75" s="14" t="s">
        <v>15</v>
      </c>
      <c r="B75" s="9" t="s">
        <v>120</v>
      </c>
      <c r="C75" s="117">
        <f>C53+C67</f>
        <v>1104591599.3699999</v>
      </c>
      <c r="D75" s="118">
        <f>D53+D67</f>
        <v>426491337</v>
      </c>
    </row>
    <row r="76" spans="1:4" ht="16.5" thickBot="1" x14ac:dyDescent="0.3">
      <c r="A76" s="14" t="s">
        <v>20</v>
      </c>
      <c r="B76" s="9" t="s">
        <v>124</v>
      </c>
      <c r="C76" s="117">
        <f>SUM(C77:C79)</f>
        <v>0</v>
      </c>
      <c r="D76" s="118">
        <f>SUM(D77:D79)</f>
        <v>0</v>
      </c>
    </row>
    <row r="77" spans="1:4" x14ac:dyDescent="0.25">
      <c r="A77" s="21" t="s">
        <v>22</v>
      </c>
      <c r="B77" s="8" t="s">
        <v>121</v>
      </c>
      <c r="C77" s="63">
        <f>'12.Önk kiad'!Z79</f>
        <v>0</v>
      </c>
      <c r="D77" s="63"/>
    </row>
    <row r="78" spans="1:4" x14ac:dyDescent="0.25">
      <c r="A78" s="22" t="s">
        <v>26</v>
      </c>
      <c r="B78" s="4" t="s">
        <v>122</v>
      </c>
      <c r="C78" s="121"/>
      <c r="D78" s="121"/>
    </row>
    <row r="79" spans="1:4" ht="16.5" thickBot="1" x14ac:dyDescent="0.3">
      <c r="A79" s="25" t="s">
        <v>27</v>
      </c>
      <c r="B79" s="10" t="s">
        <v>123</v>
      </c>
      <c r="C79" s="125"/>
      <c r="D79" s="125"/>
    </row>
    <row r="80" spans="1:4" ht="16.5" thickBot="1" x14ac:dyDescent="0.3">
      <c r="A80" s="28" t="s">
        <v>29</v>
      </c>
      <c r="B80" s="29" t="s">
        <v>125</v>
      </c>
      <c r="C80" s="127"/>
      <c r="D80" s="130"/>
    </row>
    <row r="81" spans="1:5" ht="16.5" thickBot="1" x14ac:dyDescent="0.3">
      <c r="A81" s="14" t="s">
        <v>51</v>
      </c>
      <c r="B81" s="9" t="s">
        <v>128</v>
      </c>
      <c r="C81" s="117">
        <f>C82</f>
        <v>0</v>
      </c>
      <c r="D81" s="118">
        <f>D82</f>
        <v>0</v>
      </c>
    </row>
    <row r="82" spans="1:5" ht="16.5" thickBot="1" x14ac:dyDescent="0.3">
      <c r="A82" s="26" t="s">
        <v>126</v>
      </c>
      <c r="B82" s="27" t="s">
        <v>127</v>
      </c>
      <c r="C82" s="128"/>
      <c r="D82" s="130"/>
    </row>
    <row r="83" spans="1:5" ht="16.5" thickBot="1" x14ac:dyDescent="0.3">
      <c r="A83" s="14" t="s">
        <v>53</v>
      </c>
      <c r="B83" s="9" t="s">
        <v>129</v>
      </c>
      <c r="C83" s="117"/>
      <c r="D83" s="130"/>
    </row>
    <row r="84" spans="1:5" ht="16.5" thickBot="1" x14ac:dyDescent="0.3">
      <c r="A84" s="14" t="s">
        <v>55</v>
      </c>
      <c r="B84" s="9" t="s">
        <v>130</v>
      </c>
      <c r="C84" s="117"/>
      <c r="D84" s="130"/>
    </row>
    <row r="85" spans="1:5" ht="16.5" thickBot="1" x14ac:dyDescent="0.3">
      <c r="A85" s="14" t="s">
        <v>131</v>
      </c>
      <c r="B85" s="9" t="s">
        <v>132</v>
      </c>
      <c r="C85" s="117"/>
      <c r="D85" s="130"/>
    </row>
    <row r="86" spans="1:5" ht="16.5" thickBot="1" x14ac:dyDescent="0.3">
      <c r="A86" s="14" t="s">
        <v>58</v>
      </c>
      <c r="B86" s="9" t="s">
        <v>133</v>
      </c>
      <c r="C86" s="117">
        <f>C76+C80+C81+C83+C84+C85</f>
        <v>0</v>
      </c>
      <c r="D86" s="118">
        <f>D76+D80+D81+D83+D84+D85</f>
        <v>0</v>
      </c>
    </row>
    <row r="87" spans="1:5" ht="16.5" thickBot="1" x14ac:dyDescent="0.3">
      <c r="A87" s="14" t="s">
        <v>66</v>
      </c>
      <c r="B87" s="9" t="s">
        <v>134</v>
      </c>
      <c r="C87" s="117">
        <f>C75+C86</f>
        <v>1104591599.3699999</v>
      </c>
      <c r="D87" s="118">
        <f>D75+D86</f>
        <v>426491337</v>
      </c>
      <c r="E87" s="66">
        <f>1104591599-D87</f>
        <v>678100262</v>
      </c>
    </row>
    <row r="89" spans="1:5" s="30" customFormat="1" ht="29.25" customHeight="1" x14ac:dyDescent="0.25">
      <c r="A89" s="314" t="s">
        <v>304</v>
      </c>
      <c r="B89" s="314"/>
      <c r="C89" s="314"/>
      <c r="D89" s="314"/>
    </row>
    <row r="90" spans="1:5" ht="16.5" thickBot="1" x14ac:dyDescent="0.3">
      <c r="A90" s="18" t="s">
        <v>140</v>
      </c>
      <c r="B90" s="1"/>
      <c r="C90" s="69"/>
    </row>
    <row r="91" spans="1:5" ht="32.25" thickBot="1" x14ac:dyDescent="0.3">
      <c r="A91" s="14" t="s">
        <v>3</v>
      </c>
      <c r="B91" s="11" t="s">
        <v>141</v>
      </c>
      <c r="C91" s="131">
        <f>C34-C75</f>
        <v>-382753468.36999989</v>
      </c>
      <c r="D91" s="118">
        <f>D34-D75</f>
        <v>-164442493</v>
      </c>
    </row>
    <row r="92" spans="1:5" ht="32.25" thickBot="1" x14ac:dyDescent="0.3">
      <c r="A92" s="14" t="s">
        <v>5</v>
      </c>
      <c r="B92" s="11" t="s">
        <v>142</v>
      </c>
      <c r="C92" s="131">
        <f>C47-C86</f>
        <v>18616204</v>
      </c>
      <c r="D92" s="118">
        <f>D47-D86</f>
        <v>19065683</v>
      </c>
    </row>
  </sheetData>
  <mergeCells count="6">
    <mergeCell ref="A89:D89"/>
    <mergeCell ref="A50:C50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8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D92"/>
  <sheetViews>
    <sheetView topLeftCell="A46" workbookViewId="0">
      <selection activeCell="F17" sqref="F17"/>
    </sheetView>
  </sheetViews>
  <sheetFormatPr defaultRowHeight="15.75" x14ac:dyDescent="0.25"/>
  <cols>
    <col min="1" max="1" width="6.85546875" style="12" customWidth="1"/>
    <col min="2" max="2" width="60.42578125" style="2" customWidth="1"/>
    <col min="3" max="3" width="17.5703125" style="71" customWidth="1"/>
    <col min="4" max="4" width="15.5703125" style="2" customWidth="1"/>
    <col min="5" max="5" width="9.140625" style="2"/>
    <col min="6" max="7" width="12.140625" style="2" bestFit="1" customWidth="1"/>
    <col min="8" max="8" width="11" style="2" bestFit="1" customWidth="1"/>
    <col min="9" max="9" width="12.42578125" style="2" bestFit="1" customWidth="1"/>
    <col min="10" max="16384" width="9.140625" style="2"/>
  </cols>
  <sheetData>
    <row r="1" spans="1:4" x14ac:dyDescent="0.25">
      <c r="A1" s="316" t="s">
        <v>608</v>
      </c>
      <c r="B1" s="316"/>
      <c r="C1" s="316"/>
      <c r="D1" s="316"/>
    </row>
    <row r="2" spans="1:4" s="1" customFormat="1" x14ac:dyDescent="0.25">
      <c r="A2" s="315" t="s">
        <v>0</v>
      </c>
      <c r="B2" s="315"/>
      <c r="C2" s="315"/>
      <c r="D2" s="315"/>
    </row>
    <row r="3" spans="1:4" s="1" customFormat="1" ht="40.5" customHeight="1" x14ac:dyDescent="0.25">
      <c r="A3" s="317" t="s">
        <v>557</v>
      </c>
      <c r="B3" s="317"/>
      <c r="C3" s="317"/>
      <c r="D3" s="317"/>
    </row>
    <row r="4" spans="1:4" s="1" customFormat="1" x14ac:dyDescent="0.25">
      <c r="A4" s="315" t="s">
        <v>1</v>
      </c>
      <c r="B4" s="315"/>
      <c r="C4" s="315"/>
      <c r="D4" s="315"/>
    </row>
    <row r="5" spans="1:4" s="1" customFormat="1" ht="16.5" thickBot="1" x14ac:dyDescent="0.3">
      <c r="A5" s="18"/>
      <c r="C5" s="69"/>
    </row>
    <row r="6" spans="1:4" s="3" customFormat="1" ht="16.5" thickBot="1" x14ac:dyDescent="0.3">
      <c r="A6" s="5" t="s">
        <v>147</v>
      </c>
      <c r="B6" s="6" t="s">
        <v>170</v>
      </c>
      <c r="C6" s="76" t="s">
        <v>148</v>
      </c>
      <c r="D6" s="78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7" t="s">
        <v>539</v>
      </c>
      <c r="D7" s="85" t="s">
        <v>540</v>
      </c>
    </row>
    <row r="8" spans="1:4" s="1" customFormat="1" ht="16.5" thickBot="1" x14ac:dyDescent="0.3">
      <c r="A8" s="14" t="s">
        <v>3</v>
      </c>
      <c r="B8" s="9" t="s">
        <v>16</v>
      </c>
      <c r="C8" s="117">
        <f>SUM(C9:C14)</f>
        <v>0</v>
      </c>
      <c r="D8" s="115">
        <f>SUM(D9:D14)</f>
        <v>0</v>
      </c>
    </row>
    <row r="9" spans="1:4" x14ac:dyDescent="0.25">
      <c r="A9" s="15" t="s">
        <v>6</v>
      </c>
      <c r="B9" s="8" t="s">
        <v>30</v>
      </c>
      <c r="C9" s="119"/>
      <c r="D9" s="63"/>
    </row>
    <row r="10" spans="1:4" x14ac:dyDescent="0.25">
      <c r="A10" s="16" t="s">
        <v>7</v>
      </c>
      <c r="B10" s="4" t="s">
        <v>31</v>
      </c>
      <c r="C10" s="120"/>
      <c r="D10" s="121"/>
    </row>
    <row r="11" spans="1:4" x14ac:dyDescent="0.25">
      <c r="A11" s="16" t="s">
        <v>8</v>
      </c>
      <c r="B11" s="4" t="s">
        <v>32</v>
      </c>
      <c r="C11" s="120"/>
      <c r="D11" s="121"/>
    </row>
    <row r="12" spans="1:4" x14ac:dyDescent="0.25">
      <c r="A12" s="16" t="s">
        <v>9</v>
      </c>
      <c r="B12" s="4" t="s">
        <v>33</v>
      </c>
      <c r="C12" s="120"/>
      <c r="D12" s="121"/>
    </row>
    <row r="13" spans="1:4" x14ac:dyDescent="0.25">
      <c r="A13" s="16" t="s">
        <v>10</v>
      </c>
      <c r="B13" s="4" t="s">
        <v>34</v>
      </c>
      <c r="C13" s="120"/>
      <c r="D13" s="121"/>
    </row>
    <row r="14" spans="1:4" ht="16.5" thickBot="1" x14ac:dyDescent="0.3">
      <c r="A14" s="17" t="s">
        <v>11</v>
      </c>
      <c r="B14" s="10" t="s">
        <v>35</v>
      </c>
      <c r="C14" s="122"/>
      <c r="D14" s="125"/>
    </row>
    <row r="15" spans="1:4" s="1" customFormat="1" ht="16.5" thickBot="1" x14ac:dyDescent="0.3">
      <c r="A15" s="14" t="s">
        <v>5</v>
      </c>
      <c r="B15" s="9" t="s">
        <v>39</v>
      </c>
      <c r="C15" s="117">
        <f>SUM(C16:C18)</f>
        <v>0</v>
      </c>
      <c r="D15" s="115">
        <f>SUM(D16:D18)</f>
        <v>0</v>
      </c>
    </row>
    <row r="16" spans="1:4" x14ac:dyDescent="0.25">
      <c r="A16" s="15" t="s">
        <v>12</v>
      </c>
      <c r="B16" s="8" t="s">
        <v>36</v>
      </c>
      <c r="C16" s="119"/>
      <c r="D16" s="63"/>
    </row>
    <row r="17" spans="1:4" x14ac:dyDescent="0.25">
      <c r="A17" s="16" t="s">
        <v>13</v>
      </c>
      <c r="B17" s="4" t="s">
        <v>37</v>
      </c>
      <c r="C17" s="120"/>
      <c r="D17" s="121"/>
    </row>
    <row r="18" spans="1:4" ht="16.5" thickBot="1" x14ac:dyDescent="0.3">
      <c r="A18" s="17" t="s">
        <v>14</v>
      </c>
      <c r="B18" s="10" t="s">
        <v>38</v>
      </c>
      <c r="C18" s="122"/>
      <c r="D18" s="125"/>
    </row>
    <row r="19" spans="1:4" s="1" customFormat="1" ht="16.5" thickBot="1" x14ac:dyDescent="0.3">
      <c r="A19" s="14" t="s">
        <v>15</v>
      </c>
      <c r="B19" s="9" t="s">
        <v>43</v>
      </c>
      <c r="C19" s="117">
        <f>SUM(C20:C21)</f>
        <v>0</v>
      </c>
      <c r="D19" s="115">
        <f>SUM(D20:D21)</f>
        <v>0</v>
      </c>
    </row>
    <row r="20" spans="1:4" x14ac:dyDescent="0.25">
      <c r="A20" s="15" t="s">
        <v>17</v>
      </c>
      <c r="B20" s="8" t="s">
        <v>40</v>
      </c>
      <c r="C20" s="119"/>
      <c r="D20" s="63"/>
    </row>
    <row r="21" spans="1:4" x14ac:dyDescent="0.25">
      <c r="A21" s="16" t="s">
        <v>18</v>
      </c>
      <c r="B21" s="4" t="s">
        <v>41</v>
      </c>
      <c r="C21" s="120"/>
      <c r="D21" s="121"/>
    </row>
    <row r="22" spans="1:4" ht="16.5" thickBot="1" x14ac:dyDescent="0.3">
      <c r="A22" s="17" t="s">
        <v>19</v>
      </c>
      <c r="B22" s="10" t="s">
        <v>42</v>
      </c>
      <c r="C22" s="122"/>
      <c r="D22" s="125"/>
    </row>
    <row r="23" spans="1:4" s="1" customFormat="1" ht="16.5" thickBot="1" x14ac:dyDescent="0.3">
      <c r="A23" s="14" t="s">
        <v>20</v>
      </c>
      <c r="B23" s="9" t="s">
        <v>21</v>
      </c>
      <c r="C23" s="117">
        <f>C24+C27+C28+C29</f>
        <v>0</v>
      </c>
      <c r="D23" s="115">
        <f>D24+D27+D28+D29</f>
        <v>0</v>
      </c>
    </row>
    <row r="24" spans="1:4" x14ac:dyDescent="0.25">
      <c r="A24" s="15" t="s">
        <v>22</v>
      </c>
      <c r="B24" s="8" t="s">
        <v>44</v>
      </c>
      <c r="C24" s="119"/>
      <c r="D24" s="63"/>
    </row>
    <row r="25" spans="1:4" x14ac:dyDescent="0.25">
      <c r="A25" s="16" t="s">
        <v>23</v>
      </c>
      <c r="B25" s="4" t="s">
        <v>45</v>
      </c>
      <c r="C25" s="120"/>
      <c r="D25" s="121"/>
    </row>
    <row r="26" spans="1:4" x14ac:dyDescent="0.25">
      <c r="A26" s="16" t="s">
        <v>25</v>
      </c>
      <c r="B26" s="4" t="s">
        <v>46</v>
      </c>
      <c r="C26" s="120"/>
      <c r="D26" s="121"/>
    </row>
    <row r="27" spans="1:4" x14ac:dyDescent="0.25">
      <c r="A27" s="16" t="s">
        <v>26</v>
      </c>
      <c r="B27" s="4" t="s">
        <v>47</v>
      </c>
      <c r="C27" s="120"/>
      <c r="D27" s="121"/>
    </row>
    <row r="28" spans="1:4" x14ac:dyDescent="0.25">
      <c r="A28" s="16" t="s">
        <v>27</v>
      </c>
      <c r="B28" s="4" t="s">
        <v>48</v>
      </c>
      <c r="C28" s="120"/>
      <c r="D28" s="121"/>
    </row>
    <row r="29" spans="1:4" ht="16.5" thickBot="1" x14ac:dyDescent="0.3">
      <c r="A29" s="17" t="s">
        <v>28</v>
      </c>
      <c r="B29" s="10" t="s">
        <v>49</v>
      </c>
      <c r="C29" s="122"/>
      <c r="D29" s="125"/>
    </row>
    <row r="30" spans="1:4" s="1" customFormat="1" ht="16.5" thickBot="1" x14ac:dyDescent="0.3">
      <c r="A30" s="14" t="s">
        <v>29</v>
      </c>
      <c r="B30" s="9" t="s">
        <v>50</v>
      </c>
      <c r="C30" s="117"/>
      <c r="D30" s="115"/>
    </row>
    <row r="31" spans="1:4" s="1" customFormat="1" ht="16.5" thickBot="1" x14ac:dyDescent="0.3">
      <c r="A31" s="19" t="s">
        <v>51</v>
      </c>
      <c r="B31" s="20" t="s">
        <v>52</v>
      </c>
      <c r="C31" s="124"/>
      <c r="D31" s="189"/>
    </row>
    <row r="32" spans="1:4" s="1" customFormat="1" ht="16.5" thickBot="1" x14ac:dyDescent="0.3">
      <c r="A32" s="14" t="s">
        <v>53</v>
      </c>
      <c r="B32" s="9" t="s">
        <v>54</v>
      </c>
      <c r="C32" s="117"/>
      <c r="D32" s="115"/>
    </row>
    <row r="33" spans="1:4" s="1" customFormat="1" ht="16.5" thickBot="1" x14ac:dyDescent="0.3">
      <c r="A33" s="14" t="s">
        <v>55</v>
      </c>
      <c r="B33" s="9" t="s">
        <v>56</v>
      </c>
      <c r="C33" s="117"/>
      <c r="D33" s="115"/>
    </row>
    <row r="34" spans="1:4" s="1" customFormat="1" ht="16.5" thickBot="1" x14ac:dyDescent="0.3">
      <c r="A34" s="14" t="s">
        <v>57</v>
      </c>
      <c r="B34" s="9" t="s">
        <v>135</v>
      </c>
      <c r="C34" s="117">
        <f>C8+C15+C19+C23+C30+C31+C32+C33</f>
        <v>0</v>
      </c>
      <c r="D34" s="115">
        <f>D8+D15+D19+D23+D30+D31+D32+D33</f>
        <v>0</v>
      </c>
    </row>
    <row r="35" spans="1:4" s="1" customFormat="1" ht="16.5" thickBot="1" x14ac:dyDescent="0.3">
      <c r="A35" s="14" t="s">
        <v>58</v>
      </c>
      <c r="B35" s="9" t="s">
        <v>59</v>
      </c>
      <c r="C35" s="117">
        <f>SUM(C36:C38)</f>
        <v>0</v>
      </c>
      <c r="D35" s="115">
        <f>SUM(D36:D38)</f>
        <v>0</v>
      </c>
    </row>
    <row r="36" spans="1:4" x14ac:dyDescent="0.25">
      <c r="A36" s="15" t="s">
        <v>60</v>
      </c>
      <c r="B36" s="8" t="s">
        <v>61</v>
      </c>
      <c r="C36" s="119"/>
      <c r="D36" s="63"/>
    </row>
    <row r="37" spans="1:4" x14ac:dyDescent="0.25">
      <c r="A37" s="16" t="s">
        <v>62</v>
      </c>
      <c r="B37" s="4" t="s">
        <v>63</v>
      </c>
      <c r="C37" s="120"/>
      <c r="D37" s="121"/>
    </row>
    <row r="38" spans="1:4" ht="16.5" thickBot="1" x14ac:dyDescent="0.3">
      <c r="A38" s="17" t="s">
        <v>64</v>
      </c>
      <c r="B38" s="10" t="s">
        <v>65</v>
      </c>
      <c r="C38" s="122"/>
      <c r="D38" s="125"/>
    </row>
    <row r="39" spans="1:4" s="1" customFormat="1" ht="16.5" thickBot="1" x14ac:dyDescent="0.3">
      <c r="A39" s="14" t="s">
        <v>66</v>
      </c>
      <c r="B39" s="9" t="s">
        <v>67</v>
      </c>
      <c r="C39" s="117"/>
      <c r="D39" s="115"/>
    </row>
    <row r="40" spans="1:4" s="1" customFormat="1" ht="16.5" thickBot="1" x14ac:dyDescent="0.3">
      <c r="A40" s="14" t="s">
        <v>68</v>
      </c>
      <c r="B40" s="9" t="s">
        <v>69</v>
      </c>
      <c r="C40" s="117"/>
      <c r="D40" s="115"/>
    </row>
    <row r="41" spans="1:4" s="1" customFormat="1" ht="16.5" thickBot="1" x14ac:dyDescent="0.3">
      <c r="A41" s="14" t="s">
        <v>70</v>
      </c>
      <c r="B41" s="9" t="s">
        <v>71</v>
      </c>
      <c r="C41" s="117">
        <f>C42+C43</f>
        <v>0</v>
      </c>
      <c r="D41" s="115">
        <f>D42+D43</f>
        <v>0</v>
      </c>
    </row>
    <row r="42" spans="1:4" x14ac:dyDescent="0.25">
      <c r="A42" s="15" t="s">
        <v>72</v>
      </c>
      <c r="B42" s="8" t="s">
        <v>73</v>
      </c>
      <c r="C42" s="119"/>
      <c r="D42" s="63"/>
    </row>
    <row r="43" spans="1:4" ht="16.5" thickBot="1" x14ac:dyDescent="0.3">
      <c r="A43" s="17" t="s">
        <v>74</v>
      </c>
      <c r="B43" s="10" t="s">
        <v>75</v>
      </c>
      <c r="C43" s="122"/>
      <c r="D43" s="125"/>
    </row>
    <row r="44" spans="1:4" s="1" customFormat="1" ht="16.5" thickBot="1" x14ac:dyDescent="0.3">
      <c r="A44" s="14" t="s">
        <v>76</v>
      </c>
      <c r="B44" s="9" t="s">
        <v>77</v>
      </c>
      <c r="C44" s="117"/>
      <c r="D44" s="115"/>
    </row>
    <row r="45" spans="1:4" s="1" customFormat="1" ht="16.5" thickBot="1" x14ac:dyDescent="0.3">
      <c r="A45" s="14" t="s">
        <v>78</v>
      </c>
      <c r="B45" s="9" t="s">
        <v>79</v>
      </c>
      <c r="C45" s="117"/>
      <c r="D45" s="115"/>
    </row>
    <row r="46" spans="1:4" s="1" customFormat="1" ht="16.5" thickBot="1" x14ac:dyDescent="0.3">
      <c r="A46" s="14" t="s">
        <v>80</v>
      </c>
      <c r="B46" s="9" t="s">
        <v>81</v>
      </c>
      <c r="C46" s="117"/>
      <c r="D46" s="115"/>
    </row>
    <row r="47" spans="1:4" s="1" customFormat="1" ht="16.5" thickBot="1" x14ac:dyDescent="0.3">
      <c r="A47" s="14" t="s">
        <v>82</v>
      </c>
      <c r="B47" s="9" t="s">
        <v>83</v>
      </c>
      <c r="C47" s="117">
        <f>C35+C39+C40+C41+C44+C45+C46</f>
        <v>0</v>
      </c>
      <c r="D47" s="115">
        <f>D35+D39+D40+D41+D44+D45+D46</f>
        <v>0</v>
      </c>
    </row>
    <row r="48" spans="1:4" s="1" customFormat="1" ht="32.25" thickBot="1" x14ac:dyDescent="0.3">
      <c r="A48" s="14" t="s">
        <v>84</v>
      </c>
      <c r="B48" s="82" t="s">
        <v>85</v>
      </c>
      <c r="C48" s="118">
        <f>C34+C47</f>
        <v>0</v>
      </c>
      <c r="D48" s="115">
        <f>D34+D47</f>
        <v>0</v>
      </c>
    </row>
    <row r="49" spans="1:4" x14ac:dyDescent="0.25">
      <c r="C49" s="70"/>
    </row>
    <row r="50" spans="1:4" x14ac:dyDescent="0.25">
      <c r="A50" s="315" t="s">
        <v>86</v>
      </c>
      <c r="B50" s="315"/>
      <c r="C50" s="315"/>
    </row>
    <row r="51" spans="1:4" ht="16.5" thickBot="1" x14ac:dyDescent="0.3">
      <c r="A51" s="18" t="s">
        <v>87</v>
      </c>
      <c r="B51" s="1"/>
      <c r="C51" s="70"/>
    </row>
    <row r="52" spans="1:4" ht="32.25" thickBot="1" x14ac:dyDescent="0.3">
      <c r="A52" s="24" t="s">
        <v>4</v>
      </c>
      <c r="B52" s="9" t="s">
        <v>88</v>
      </c>
      <c r="C52" s="77" t="s">
        <v>539</v>
      </c>
      <c r="D52" s="85" t="s">
        <v>540</v>
      </c>
    </row>
    <row r="53" spans="1:4" ht="16.5" thickBot="1" x14ac:dyDescent="0.3">
      <c r="A53" s="14" t="s">
        <v>3</v>
      </c>
      <c r="B53" s="9" t="s">
        <v>106</v>
      </c>
      <c r="C53" s="117">
        <f>C54+C55+C56+C57+C58+C64</f>
        <v>47008000</v>
      </c>
      <c r="D53" s="115">
        <f>D54+D55+D56+D57+D58+D64</f>
        <v>47008000</v>
      </c>
    </row>
    <row r="54" spans="1:4" x14ac:dyDescent="0.25">
      <c r="A54" s="21" t="s">
        <v>6</v>
      </c>
      <c r="B54" s="8" t="s">
        <v>89</v>
      </c>
      <c r="C54" s="63">
        <f>'13.PMH kiad'!D6</f>
        <v>41600000</v>
      </c>
      <c r="D54" s="63">
        <f>'13.PMH kiad'!E6</f>
        <v>41600000</v>
      </c>
    </row>
    <row r="55" spans="1:4" x14ac:dyDescent="0.25">
      <c r="A55" s="22" t="s">
        <v>7</v>
      </c>
      <c r="B55" s="4" t="s">
        <v>90</v>
      </c>
      <c r="C55" s="121">
        <f>'13.PMH kiad'!F6</f>
        <v>5408000</v>
      </c>
      <c r="D55" s="121">
        <f>'13.PMH kiad'!G6</f>
        <v>5408000</v>
      </c>
    </row>
    <row r="56" spans="1:4" x14ac:dyDescent="0.25">
      <c r="A56" s="22" t="s">
        <v>8</v>
      </c>
      <c r="B56" s="4" t="s">
        <v>91</v>
      </c>
      <c r="C56" s="121">
        <f>'13.PMH kiad'!H6</f>
        <v>0</v>
      </c>
      <c r="D56" s="121"/>
    </row>
    <row r="57" spans="1:4" x14ac:dyDescent="0.25">
      <c r="A57" s="22" t="s">
        <v>9</v>
      </c>
      <c r="B57" s="4" t="s">
        <v>92</v>
      </c>
      <c r="C57" s="121"/>
      <c r="D57" s="121"/>
    </row>
    <row r="58" spans="1:4" x14ac:dyDescent="0.25">
      <c r="A58" s="22" t="s">
        <v>10</v>
      </c>
      <c r="B58" s="4" t="s">
        <v>93</v>
      </c>
      <c r="C58" s="121"/>
      <c r="D58" s="121"/>
    </row>
    <row r="59" spans="1:4" x14ac:dyDescent="0.25">
      <c r="A59" s="22" t="s">
        <v>11</v>
      </c>
      <c r="B59" s="23" t="s">
        <v>94</v>
      </c>
      <c r="C59" s="121"/>
      <c r="D59" s="121"/>
    </row>
    <row r="60" spans="1:4" x14ac:dyDescent="0.25">
      <c r="A60" s="22" t="s">
        <v>95</v>
      </c>
      <c r="B60" s="4" t="s">
        <v>101</v>
      </c>
      <c r="C60" s="121"/>
      <c r="D60" s="121"/>
    </row>
    <row r="61" spans="1:4" x14ac:dyDescent="0.25">
      <c r="A61" s="22" t="s">
        <v>96</v>
      </c>
      <c r="B61" s="4" t="s">
        <v>136</v>
      </c>
      <c r="C61" s="121"/>
      <c r="D61" s="121"/>
    </row>
    <row r="62" spans="1:4" x14ac:dyDescent="0.25">
      <c r="A62" s="22" t="s">
        <v>97</v>
      </c>
      <c r="B62" s="4" t="s">
        <v>137</v>
      </c>
      <c r="C62" s="121"/>
      <c r="D62" s="121"/>
    </row>
    <row r="63" spans="1:4" x14ac:dyDescent="0.25">
      <c r="A63" s="22" t="s">
        <v>98</v>
      </c>
      <c r="B63" s="4" t="s">
        <v>138</v>
      </c>
      <c r="C63" s="121"/>
      <c r="D63" s="121"/>
    </row>
    <row r="64" spans="1:4" x14ac:dyDescent="0.25">
      <c r="A64" s="22" t="s">
        <v>99</v>
      </c>
      <c r="B64" s="4" t="s">
        <v>100</v>
      </c>
      <c r="C64" s="121"/>
      <c r="D64" s="121"/>
    </row>
    <row r="65" spans="1:4" x14ac:dyDescent="0.25">
      <c r="A65" s="22" t="s">
        <v>102</v>
      </c>
      <c r="B65" s="4" t="s">
        <v>103</v>
      </c>
      <c r="C65" s="121"/>
      <c r="D65" s="121"/>
    </row>
    <row r="66" spans="1:4" ht="16.5" thickBot="1" x14ac:dyDescent="0.3">
      <c r="A66" s="25" t="s">
        <v>104</v>
      </c>
      <c r="B66" s="10" t="s">
        <v>105</v>
      </c>
      <c r="C66" s="125"/>
      <c r="D66" s="125"/>
    </row>
    <row r="67" spans="1:4" ht="16.5" thickBot="1" x14ac:dyDescent="0.3">
      <c r="A67" s="14" t="s">
        <v>5</v>
      </c>
      <c r="B67" s="9" t="s">
        <v>119</v>
      </c>
      <c r="C67" s="117">
        <f>C68+C70+C72</f>
        <v>0</v>
      </c>
      <c r="D67" s="115">
        <f>D68+D70+D72</f>
        <v>0</v>
      </c>
    </row>
    <row r="68" spans="1:4" x14ac:dyDescent="0.25">
      <c r="A68" s="21" t="s">
        <v>12</v>
      </c>
      <c r="B68" s="8" t="s">
        <v>107</v>
      </c>
      <c r="C68" s="63"/>
      <c r="D68" s="63"/>
    </row>
    <row r="69" spans="1:4" x14ac:dyDescent="0.25">
      <c r="A69" s="22" t="s">
        <v>108</v>
      </c>
      <c r="B69" s="4" t="s">
        <v>109</v>
      </c>
      <c r="C69" s="121"/>
      <c r="D69" s="121"/>
    </row>
    <row r="70" spans="1:4" x14ac:dyDescent="0.25">
      <c r="A70" s="22" t="s">
        <v>14</v>
      </c>
      <c r="B70" s="4" t="s">
        <v>110</v>
      </c>
      <c r="C70" s="121"/>
      <c r="D70" s="121"/>
    </row>
    <row r="71" spans="1:4" x14ac:dyDescent="0.25">
      <c r="A71" s="22" t="s">
        <v>111</v>
      </c>
      <c r="B71" s="4" t="s">
        <v>112</v>
      </c>
      <c r="C71" s="121"/>
      <c r="D71" s="121"/>
    </row>
    <row r="72" spans="1:4" x14ac:dyDescent="0.25">
      <c r="A72" s="22" t="s">
        <v>113</v>
      </c>
      <c r="B72" s="4" t="s">
        <v>114</v>
      </c>
      <c r="C72" s="121"/>
      <c r="D72" s="121"/>
    </row>
    <row r="73" spans="1:4" x14ac:dyDescent="0.25">
      <c r="A73" s="22" t="s">
        <v>115</v>
      </c>
      <c r="B73" s="4" t="s">
        <v>116</v>
      </c>
      <c r="C73" s="121"/>
      <c r="D73" s="121"/>
    </row>
    <row r="74" spans="1:4" ht="16.5" thickBot="1" x14ac:dyDescent="0.3">
      <c r="A74" s="25" t="s">
        <v>117</v>
      </c>
      <c r="B74" s="10" t="s">
        <v>118</v>
      </c>
      <c r="C74" s="125"/>
      <c r="D74" s="125"/>
    </row>
    <row r="75" spans="1:4" ht="16.5" thickBot="1" x14ac:dyDescent="0.3">
      <c r="A75" s="14" t="s">
        <v>15</v>
      </c>
      <c r="B75" s="9" t="s">
        <v>120</v>
      </c>
      <c r="C75" s="117">
        <f>C53+C67</f>
        <v>47008000</v>
      </c>
      <c r="D75" s="115">
        <f>D53+D67</f>
        <v>47008000</v>
      </c>
    </row>
    <row r="76" spans="1:4" ht="16.5" thickBot="1" x14ac:dyDescent="0.3">
      <c r="A76" s="14" t="s">
        <v>20</v>
      </c>
      <c r="B76" s="9" t="s">
        <v>124</v>
      </c>
      <c r="C76" s="117">
        <f>SUM(C77:C79)</f>
        <v>0</v>
      </c>
      <c r="D76" s="115">
        <f>SUM(D77:D79)</f>
        <v>0</v>
      </c>
    </row>
    <row r="77" spans="1:4" x14ac:dyDescent="0.25">
      <c r="A77" s="21" t="s">
        <v>22</v>
      </c>
      <c r="B77" s="8" t="s">
        <v>121</v>
      </c>
      <c r="C77" s="63"/>
      <c r="D77" s="63"/>
    </row>
    <row r="78" spans="1:4" x14ac:dyDescent="0.25">
      <c r="A78" s="22" t="s">
        <v>26</v>
      </c>
      <c r="B78" s="4" t="s">
        <v>122</v>
      </c>
      <c r="C78" s="121"/>
      <c r="D78" s="121"/>
    </row>
    <row r="79" spans="1:4" ht="16.5" thickBot="1" x14ac:dyDescent="0.3">
      <c r="A79" s="25" t="s">
        <v>27</v>
      </c>
      <c r="B79" s="10" t="s">
        <v>123</v>
      </c>
      <c r="C79" s="125"/>
      <c r="D79" s="125"/>
    </row>
    <row r="80" spans="1:4" ht="16.5" thickBot="1" x14ac:dyDescent="0.3">
      <c r="A80" s="28" t="s">
        <v>29</v>
      </c>
      <c r="B80" s="29" t="s">
        <v>125</v>
      </c>
      <c r="C80" s="127"/>
      <c r="D80" s="190"/>
    </row>
    <row r="81" spans="1:4" ht="16.5" thickBot="1" x14ac:dyDescent="0.3">
      <c r="A81" s="14" t="s">
        <v>51</v>
      </c>
      <c r="B81" s="9" t="s">
        <v>128</v>
      </c>
      <c r="C81" s="117">
        <f>C82</f>
        <v>0</v>
      </c>
      <c r="D81" s="115">
        <f>D82</f>
        <v>0</v>
      </c>
    </row>
    <row r="82" spans="1:4" ht="16.5" thickBot="1" x14ac:dyDescent="0.3">
      <c r="A82" s="26" t="s">
        <v>126</v>
      </c>
      <c r="B82" s="27" t="s">
        <v>127</v>
      </c>
      <c r="C82" s="128"/>
      <c r="D82" s="128"/>
    </row>
    <row r="83" spans="1:4" ht="16.5" thickBot="1" x14ac:dyDescent="0.3">
      <c r="A83" s="14" t="s">
        <v>53</v>
      </c>
      <c r="B83" s="9" t="s">
        <v>129</v>
      </c>
      <c r="C83" s="117"/>
      <c r="D83" s="115"/>
    </row>
    <row r="84" spans="1:4" ht="16.5" thickBot="1" x14ac:dyDescent="0.3">
      <c r="A84" s="14" t="s">
        <v>55</v>
      </c>
      <c r="B84" s="9" t="s">
        <v>130</v>
      </c>
      <c r="C84" s="117"/>
      <c r="D84" s="115"/>
    </row>
    <row r="85" spans="1:4" ht="16.5" thickBot="1" x14ac:dyDescent="0.3">
      <c r="A85" s="14" t="s">
        <v>131</v>
      </c>
      <c r="B85" s="9" t="s">
        <v>132</v>
      </c>
      <c r="C85" s="117"/>
      <c r="D85" s="115"/>
    </row>
    <row r="86" spans="1:4" ht="16.5" thickBot="1" x14ac:dyDescent="0.3">
      <c r="A86" s="14" t="s">
        <v>58</v>
      </c>
      <c r="B86" s="9" t="s">
        <v>133</v>
      </c>
      <c r="C86" s="117">
        <f>C76+C80+C81+C83+C84+C85</f>
        <v>0</v>
      </c>
      <c r="D86" s="115">
        <f>D76+D80+D81+D83+D84+D85</f>
        <v>0</v>
      </c>
    </row>
    <row r="87" spans="1:4" ht="16.5" thickBot="1" x14ac:dyDescent="0.3">
      <c r="A87" s="14" t="s">
        <v>66</v>
      </c>
      <c r="B87" s="9" t="s">
        <v>134</v>
      </c>
      <c r="C87" s="117">
        <f>C75+C86</f>
        <v>47008000</v>
      </c>
      <c r="D87" s="115">
        <f>D75+D86</f>
        <v>47008000</v>
      </c>
    </row>
    <row r="89" spans="1:4" s="30" customFormat="1" ht="29.25" customHeight="1" x14ac:dyDescent="0.25">
      <c r="A89" s="314" t="s">
        <v>139</v>
      </c>
      <c r="B89" s="314"/>
      <c r="C89" s="314"/>
    </row>
    <row r="90" spans="1:4" ht="16.5" thickBot="1" x14ac:dyDescent="0.3">
      <c r="A90" s="18" t="s">
        <v>140</v>
      </c>
      <c r="B90" s="1"/>
      <c r="C90" s="69"/>
    </row>
    <row r="91" spans="1:4" ht="32.25" thickBot="1" x14ac:dyDescent="0.3">
      <c r="A91" s="14" t="s">
        <v>3</v>
      </c>
      <c r="B91" s="11" t="s">
        <v>141</v>
      </c>
      <c r="C91" s="131">
        <f>C34-C75</f>
        <v>-47008000</v>
      </c>
      <c r="D91" s="118">
        <f>D34-D75</f>
        <v>-47008000</v>
      </c>
    </row>
    <row r="92" spans="1:4" ht="32.25" thickBot="1" x14ac:dyDescent="0.3">
      <c r="A92" s="14" t="s">
        <v>5</v>
      </c>
      <c r="B92" s="11" t="s">
        <v>142</v>
      </c>
      <c r="C92" s="131">
        <f>C47-C86</f>
        <v>0</v>
      </c>
      <c r="D92" s="118">
        <f>D47-D86</f>
        <v>0</v>
      </c>
    </row>
  </sheetData>
  <mergeCells count="6">
    <mergeCell ref="A89:C89"/>
    <mergeCell ref="A50:C50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6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G23"/>
  <sheetViews>
    <sheetView workbookViewId="0">
      <selection activeCell="B1" sqref="B1:G1"/>
    </sheetView>
  </sheetViews>
  <sheetFormatPr defaultRowHeight="15.75" x14ac:dyDescent="0.25"/>
  <cols>
    <col min="1" max="1" width="5.7109375" style="13" customWidth="1"/>
    <col min="2" max="2" width="57.5703125" style="2" bestFit="1" customWidth="1"/>
    <col min="3" max="3" width="16.7109375" style="66" customWidth="1"/>
    <col min="4" max="4" width="14.7109375" style="66" customWidth="1"/>
    <col min="5" max="5" width="53.85546875" style="2" bestFit="1" customWidth="1"/>
    <col min="6" max="6" width="14.7109375" style="66" customWidth="1"/>
    <col min="7" max="7" width="14.5703125" style="2" customWidth="1"/>
    <col min="8" max="16384" width="9.140625" style="2"/>
  </cols>
  <sheetData>
    <row r="1" spans="1:7" x14ac:dyDescent="0.25">
      <c r="B1" s="318" t="s">
        <v>609</v>
      </c>
      <c r="C1" s="318"/>
      <c r="D1" s="318"/>
      <c r="E1" s="318"/>
      <c r="F1" s="318"/>
      <c r="G1" s="318"/>
    </row>
    <row r="2" spans="1:7" ht="54.75" customHeight="1" x14ac:dyDescent="0.25">
      <c r="A2" s="319" t="s">
        <v>143</v>
      </c>
      <c r="B2" s="319"/>
      <c r="C2" s="319"/>
      <c r="D2" s="319"/>
      <c r="E2" s="319"/>
      <c r="F2" s="319"/>
      <c r="G2" s="319"/>
    </row>
    <row r="3" spans="1:7" x14ac:dyDescent="0.25">
      <c r="A3" s="320" t="s">
        <v>144</v>
      </c>
      <c r="B3" s="320"/>
      <c r="C3" s="320"/>
      <c r="D3" s="320"/>
      <c r="E3" s="320"/>
      <c r="F3" s="320"/>
      <c r="G3" s="320"/>
    </row>
    <row r="4" spans="1:7" ht="16.5" thickBot="1" x14ac:dyDescent="0.3">
      <c r="A4" s="318" t="s">
        <v>273</v>
      </c>
      <c r="B4" s="318"/>
      <c r="C4" s="318"/>
      <c r="D4" s="318"/>
      <c r="E4" s="318"/>
      <c r="F4" s="318"/>
    </row>
    <row r="5" spans="1:7" s="30" customFormat="1" ht="32.25" thickBot="1" x14ac:dyDescent="0.3">
      <c r="A5" s="39" t="s">
        <v>4</v>
      </c>
      <c r="B5" s="6" t="s">
        <v>145</v>
      </c>
      <c r="C5" s="77" t="s">
        <v>539</v>
      </c>
      <c r="D5" s="85" t="s">
        <v>540</v>
      </c>
      <c r="E5" s="6" t="s">
        <v>146</v>
      </c>
      <c r="F5" s="77" t="s">
        <v>539</v>
      </c>
      <c r="G5" s="85" t="s">
        <v>540</v>
      </c>
    </row>
    <row r="6" spans="1:7" s="13" customFormat="1" ht="16.5" thickBot="1" x14ac:dyDescent="0.3">
      <c r="A6" s="33" t="s">
        <v>147</v>
      </c>
      <c r="B6" s="34" t="s">
        <v>170</v>
      </c>
      <c r="C6" s="67" t="s">
        <v>148</v>
      </c>
      <c r="D6" s="67" t="s">
        <v>149</v>
      </c>
      <c r="E6" s="34" t="s">
        <v>150</v>
      </c>
      <c r="F6" s="80" t="s">
        <v>188</v>
      </c>
      <c r="G6" s="81" t="s">
        <v>194</v>
      </c>
    </row>
    <row r="7" spans="1:7" x14ac:dyDescent="0.25">
      <c r="A7" s="32" t="s">
        <v>3</v>
      </c>
      <c r="B7" s="8" t="s">
        <v>151</v>
      </c>
      <c r="C7" s="63">
        <f>'7.Önk bev.'!I66</f>
        <v>934726324</v>
      </c>
      <c r="D7" s="63">
        <f>'7.Önk bev.'!J66</f>
        <v>807430467</v>
      </c>
      <c r="E7" s="8" t="s">
        <v>89</v>
      </c>
      <c r="F7" s="63">
        <f>'12.Önk kiad'!D80</f>
        <v>654058277</v>
      </c>
      <c r="G7" s="63">
        <f>'12.Önk kiad'!E80</f>
        <v>708957518</v>
      </c>
    </row>
    <row r="8" spans="1:7" x14ac:dyDescent="0.25">
      <c r="A8" s="31" t="s">
        <v>5</v>
      </c>
      <c r="B8" s="4" t="s">
        <v>152</v>
      </c>
      <c r="C8" s="121">
        <f>'7.Önk bev.'!M66</f>
        <v>102194590</v>
      </c>
      <c r="D8" s="121">
        <f>'7.Önk bev.'!N66</f>
        <v>130336926</v>
      </c>
      <c r="E8" s="4" t="s">
        <v>153</v>
      </c>
      <c r="F8" s="121">
        <f>'12.Önk kiad'!F80</f>
        <v>80079073.290000007</v>
      </c>
      <c r="G8" s="121">
        <f>'12.Önk kiad'!G80</f>
        <v>88325705</v>
      </c>
    </row>
    <row r="9" spans="1:7" x14ac:dyDescent="0.25">
      <c r="A9" s="31" t="s">
        <v>15</v>
      </c>
      <c r="B9" s="4" t="s">
        <v>155</v>
      </c>
      <c r="C9" s="121"/>
      <c r="D9" s="121"/>
      <c r="E9" s="4" t="s">
        <v>156</v>
      </c>
      <c r="F9" s="121">
        <f>'12.Önk kiad'!H80</f>
        <v>419347309</v>
      </c>
      <c r="G9" s="121">
        <f>'12.Önk kiad'!I80</f>
        <v>363606283</v>
      </c>
    </row>
    <row r="10" spans="1:7" x14ac:dyDescent="0.25">
      <c r="A10" s="31" t="s">
        <v>20</v>
      </c>
      <c r="B10" s="4" t="s">
        <v>157</v>
      </c>
      <c r="C10" s="121">
        <f>'7.Önk bev.'!G66</f>
        <v>198157000</v>
      </c>
      <c r="D10" s="121">
        <f>'7.Önk bev.'!H66</f>
        <v>178576886</v>
      </c>
      <c r="E10" s="4" t="s">
        <v>92</v>
      </c>
      <c r="F10" s="121">
        <f>'12.Önk kiad'!J80</f>
        <v>3900000</v>
      </c>
      <c r="G10" s="121">
        <f>'12.Önk kiad'!K80</f>
        <v>1942870</v>
      </c>
    </row>
    <row r="11" spans="1:7" x14ac:dyDescent="0.25">
      <c r="A11" s="31" t="s">
        <v>29</v>
      </c>
      <c r="B11" s="4" t="s">
        <v>158</v>
      </c>
      <c r="C11" s="121">
        <f>'7.Önk bev.'!E66</f>
        <v>106740811</v>
      </c>
      <c r="D11" s="121">
        <f>'7.Önk bev.'!F66</f>
        <v>118934767</v>
      </c>
      <c r="E11" s="4" t="s">
        <v>93</v>
      </c>
      <c r="F11" s="121">
        <f>'12.Önk kiad'!L80+'12.Önk kiad'!N80+'12.Önk kiad'!R80</f>
        <v>121382399</v>
      </c>
      <c r="G11" s="121">
        <f>'12.Önk kiad'!M80+'12.Önk kiad'!O80+'12.Önk kiad'!S80</f>
        <v>36149434</v>
      </c>
    </row>
    <row r="12" spans="1:7" x14ac:dyDescent="0.25">
      <c r="A12" s="31" t="s">
        <v>51</v>
      </c>
      <c r="B12" s="4" t="s">
        <v>159</v>
      </c>
      <c r="C12" s="121">
        <f>'7.Önk bev.'!Q66</f>
        <v>0</v>
      </c>
      <c r="D12" s="121">
        <f>'7.Önk bev.'!R66</f>
        <v>0</v>
      </c>
      <c r="E12" s="4" t="s">
        <v>100</v>
      </c>
      <c r="F12" s="121">
        <f>'12.Önk kiad'!X80</f>
        <v>5000000</v>
      </c>
      <c r="G12" s="121">
        <v>66377647</v>
      </c>
    </row>
    <row r="13" spans="1:7" ht="16.5" thickBot="1" x14ac:dyDescent="0.3">
      <c r="A13" s="35" t="s">
        <v>53</v>
      </c>
      <c r="B13" s="10" t="s">
        <v>160</v>
      </c>
      <c r="C13" s="125"/>
      <c r="D13" s="125"/>
      <c r="E13" s="10"/>
      <c r="F13" s="125"/>
      <c r="G13" s="121"/>
    </row>
    <row r="14" spans="1:7" ht="16.5" thickBot="1" x14ac:dyDescent="0.3">
      <c r="A14" s="33" t="s">
        <v>55</v>
      </c>
      <c r="B14" s="9" t="s">
        <v>161</v>
      </c>
      <c r="C14" s="115">
        <f>C7+C8+C10+C11+C12</f>
        <v>1341818725</v>
      </c>
      <c r="D14" s="115">
        <f>D7+D8+D10+D11+D12</f>
        <v>1235279046</v>
      </c>
      <c r="E14" s="9" t="s">
        <v>162</v>
      </c>
      <c r="F14" s="117">
        <f>SUM(F7:F13)</f>
        <v>1283767058.29</v>
      </c>
      <c r="G14" s="118">
        <f>SUM(G7:G13)</f>
        <v>1265359457</v>
      </c>
    </row>
    <row r="15" spans="1:7" x14ac:dyDescent="0.25">
      <c r="A15" s="75" t="s">
        <v>57</v>
      </c>
      <c r="B15" s="65" t="s">
        <v>165</v>
      </c>
      <c r="C15" s="64">
        <f>C16</f>
        <v>25750096</v>
      </c>
      <c r="D15" s="64">
        <f>D16</f>
        <v>41500354</v>
      </c>
      <c r="E15" s="8" t="s">
        <v>169</v>
      </c>
      <c r="F15" s="63">
        <v>50000000</v>
      </c>
      <c r="G15" s="63">
        <f>'1.összevont'!E79</f>
        <v>287692011</v>
      </c>
    </row>
    <row r="16" spans="1:7" x14ac:dyDescent="0.25">
      <c r="A16" s="31" t="s">
        <v>58</v>
      </c>
      <c r="B16" s="4" t="s">
        <v>163</v>
      </c>
      <c r="C16" s="121">
        <v>25750096</v>
      </c>
      <c r="D16" s="121">
        <v>41500354</v>
      </c>
      <c r="E16" s="4" t="s">
        <v>127</v>
      </c>
      <c r="F16" s="121">
        <f>'12.Önk kiad'!Z20</f>
        <v>16898319</v>
      </c>
      <c r="G16" s="121">
        <f>'12.Önk kiad'!AA20</f>
        <v>17613632</v>
      </c>
    </row>
    <row r="17" spans="1:7" x14ac:dyDescent="0.25">
      <c r="A17" s="31" t="s">
        <v>66</v>
      </c>
      <c r="B17" s="4" t="s">
        <v>166</v>
      </c>
      <c r="C17" s="121">
        <f>SUM(C18)</f>
        <v>0</v>
      </c>
      <c r="D17" s="121">
        <f>SUM(D18)</f>
        <v>287692011</v>
      </c>
      <c r="E17" s="4" t="s">
        <v>293</v>
      </c>
      <c r="F17" s="121">
        <f>'12.Önk kiad'!Z22</f>
        <v>16903444</v>
      </c>
      <c r="G17" s="121">
        <f>'12.Önk kiad'!AA22</f>
        <v>16903444</v>
      </c>
    </row>
    <row r="18" spans="1:7" x14ac:dyDescent="0.25">
      <c r="A18" s="35" t="s">
        <v>68</v>
      </c>
      <c r="B18" s="10" t="s">
        <v>164</v>
      </c>
      <c r="C18" s="125"/>
      <c r="D18" s="121">
        <f>'7.Önk bev.'!X37</f>
        <v>287692011</v>
      </c>
      <c r="E18" s="10"/>
      <c r="F18" s="125"/>
      <c r="G18" s="121"/>
    </row>
    <row r="19" spans="1:7" ht="16.5" thickBot="1" x14ac:dyDescent="0.3">
      <c r="A19" s="236" t="s">
        <v>70</v>
      </c>
      <c r="B19" s="27" t="s">
        <v>564</v>
      </c>
      <c r="C19" s="128"/>
      <c r="D19" s="121">
        <f>'7.Önk bev.'!X40</f>
        <v>23097133</v>
      </c>
      <c r="E19" s="27"/>
      <c r="F19" s="237"/>
      <c r="G19" s="66"/>
    </row>
    <row r="20" spans="1:7" ht="16.5" thickBot="1" x14ac:dyDescent="0.3">
      <c r="A20" s="33" t="s">
        <v>70</v>
      </c>
      <c r="B20" s="9" t="s">
        <v>167</v>
      </c>
      <c r="C20" s="115">
        <f>C15+C17</f>
        <v>25750096</v>
      </c>
      <c r="D20" s="115">
        <f>D15+D17+D19</f>
        <v>352289498</v>
      </c>
      <c r="E20" s="9" t="s">
        <v>271</v>
      </c>
      <c r="F20" s="117">
        <f>SUM(F15:F18)</f>
        <v>83801763</v>
      </c>
      <c r="G20" s="118">
        <f>SUM(G15:G18)</f>
        <v>322209087</v>
      </c>
    </row>
    <row r="21" spans="1:7" ht="16.5" thickBot="1" x14ac:dyDescent="0.3">
      <c r="A21" s="36" t="s">
        <v>76</v>
      </c>
      <c r="B21" s="37" t="s">
        <v>168</v>
      </c>
      <c r="C21" s="115">
        <f>C14+C20</f>
        <v>1367568821</v>
      </c>
      <c r="D21" s="115">
        <f>D14+D20</f>
        <v>1587568544</v>
      </c>
      <c r="E21" s="9" t="s">
        <v>171</v>
      </c>
      <c r="F21" s="117">
        <f>F14+F20</f>
        <v>1367568821.29</v>
      </c>
      <c r="G21" s="118">
        <f>G14+G20</f>
        <v>1587568544</v>
      </c>
    </row>
    <row r="22" spans="1:7" ht="16.5" thickBot="1" x14ac:dyDescent="0.3">
      <c r="A22" s="38" t="s">
        <v>78</v>
      </c>
      <c r="B22" s="37" t="s">
        <v>173</v>
      </c>
      <c r="C22" s="115">
        <f>F14-C14</f>
        <v>-58051666.710000038</v>
      </c>
      <c r="D22" s="115">
        <f>G14-D14</f>
        <v>30080411</v>
      </c>
      <c r="E22" s="9" t="s">
        <v>172</v>
      </c>
      <c r="F22" s="117">
        <v>0</v>
      </c>
      <c r="G22" s="118">
        <v>0</v>
      </c>
    </row>
    <row r="23" spans="1:7" ht="16.5" thickBot="1" x14ac:dyDescent="0.3">
      <c r="A23" s="38" t="s">
        <v>154</v>
      </c>
      <c r="B23" s="37" t="s">
        <v>174</v>
      </c>
      <c r="C23" s="115">
        <f>C21-F21</f>
        <v>-0.28999996185302734</v>
      </c>
      <c r="D23" s="115">
        <f>D21-G21</f>
        <v>0</v>
      </c>
      <c r="E23" s="9" t="s">
        <v>175</v>
      </c>
      <c r="F23" s="117">
        <v>0</v>
      </c>
      <c r="G23" s="118">
        <v>0</v>
      </c>
    </row>
  </sheetData>
  <mergeCells count="4">
    <mergeCell ref="A4:F4"/>
    <mergeCell ref="B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G22"/>
  <sheetViews>
    <sheetView workbookViewId="0">
      <selection activeCell="B1" sqref="B1:G1"/>
    </sheetView>
  </sheetViews>
  <sheetFormatPr defaultRowHeight="15.75" x14ac:dyDescent="0.25"/>
  <cols>
    <col min="1" max="1" width="5.7109375" style="13" customWidth="1"/>
    <col min="2" max="2" width="60.28515625" style="2" bestFit="1" customWidth="1"/>
    <col min="3" max="4" width="14.7109375" style="66" customWidth="1"/>
    <col min="5" max="5" width="62.5703125" style="2" bestFit="1" customWidth="1"/>
    <col min="6" max="6" width="14.7109375" style="66" customWidth="1"/>
    <col min="7" max="7" width="16.5703125" style="2" bestFit="1" customWidth="1"/>
    <col min="8" max="16384" width="9.140625" style="2"/>
  </cols>
  <sheetData>
    <row r="1" spans="1:7" x14ac:dyDescent="0.25">
      <c r="B1" s="318" t="s">
        <v>610</v>
      </c>
      <c r="C1" s="318"/>
      <c r="D1" s="318"/>
      <c r="E1" s="318"/>
      <c r="F1" s="318"/>
      <c r="G1" s="318"/>
    </row>
    <row r="2" spans="1:7" ht="60" customHeight="1" x14ac:dyDescent="0.25">
      <c r="A2" s="319" t="s">
        <v>176</v>
      </c>
      <c r="B2" s="319"/>
      <c r="C2" s="319"/>
      <c r="D2" s="319"/>
      <c r="E2" s="319"/>
      <c r="F2" s="319"/>
      <c r="G2" s="319"/>
    </row>
    <row r="3" spans="1:7" x14ac:dyDescent="0.25">
      <c r="A3" s="320" t="s">
        <v>144</v>
      </c>
      <c r="B3" s="320"/>
      <c r="C3" s="320"/>
      <c r="D3" s="320"/>
      <c r="E3" s="320"/>
      <c r="F3" s="320"/>
      <c r="G3" s="320"/>
    </row>
    <row r="4" spans="1:7" ht="16.5" thickBot="1" x14ac:dyDescent="0.3">
      <c r="A4" s="321" t="s">
        <v>273</v>
      </c>
      <c r="B4" s="321"/>
      <c r="C4" s="321"/>
      <c r="D4" s="321"/>
      <c r="E4" s="321"/>
      <c r="F4" s="321"/>
      <c r="G4" s="321"/>
    </row>
    <row r="5" spans="1:7" s="30" customFormat="1" ht="32.25" thickBot="1" x14ac:dyDescent="0.3">
      <c r="A5" s="79" t="s">
        <v>4</v>
      </c>
      <c r="B5" s="78" t="s">
        <v>145</v>
      </c>
      <c r="C5" s="77" t="s">
        <v>539</v>
      </c>
      <c r="D5" s="85" t="s">
        <v>540</v>
      </c>
      <c r="E5" s="78" t="s">
        <v>146</v>
      </c>
      <c r="F5" s="77" t="s">
        <v>539</v>
      </c>
      <c r="G5" s="85" t="s">
        <v>540</v>
      </c>
    </row>
    <row r="6" spans="1:7" s="13" customFormat="1" x14ac:dyDescent="0.25">
      <c r="A6" s="155" t="s">
        <v>147</v>
      </c>
      <c r="B6" s="75" t="s">
        <v>170</v>
      </c>
      <c r="C6" s="159" t="s">
        <v>148</v>
      </c>
      <c r="D6" s="159"/>
      <c r="E6" s="75" t="s">
        <v>149</v>
      </c>
      <c r="F6" s="159" t="s">
        <v>150</v>
      </c>
      <c r="G6" s="160" t="s">
        <v>188</v>
      </c>
    </row>
    <row r="7" spans="1:7" x14ac:dyDescent="0.25">
      <c r="A7" s="152" t="s">
        <v>3</v>
      </c>
      <c r="B7" s="8" t="s">
        <v>177</v>
      </c>
      <c r="C7" s="63">
        <f>'7.Önk bev.'!O66</f>
        <v>696302361</v>
      </c>
      <c r="D7" s="63">
        <f>'7.Önk bev.'!P66</f>
        <v>231918360</v>
      </c>
      <c r="E7" s="8" t="s">
        <v>107</v>
      </c>
      <c r="F7" s="63">
        <f>'12.Önk kiad'!T80</f>
        <v>507485197</v>
      </c>
      <c r="G7" s="119">
        <f>'12.Önk kiad'!U80</f>
        <v>8302359</v>
      </c>
    </row>
    <row r="8" spans="1:7" x14ac:dyDescent="0.25">
      <c r="A8" s="153" t="s">
        <v>5</v>
      </c>
      <c r="B8" s="4" t="s">
        <v>178</v>
      </c>
      <c r="C8" s="121">
        <v>696302361</v>
      </c>
      <c r="D8" s="121">
        <v>231918360</v>
      </c>
      <c r="E8" s="4" t="s">
        <v>294</v>
      </c>
      <c r="F8" s="120">
        <v>848849029</v>
      </c>
      <c r="G8" s="120"/>
    </row>
    <row r="9" spans="1:7" x14ac:dyDescent="0.25">
      <c r="A9" s="153" t="s">
        <v>15</v>
      </c>
      <c r="B9" s="4" t="s">
        <v>52</v>
      </c>
      <c r="C9" s="121"/>
      <c r="D9" s="121">
        <f>'1.összevont'!E33</f>
        <v>1614961</v>
      </c>
      <c r="E9" s="4" t="s">
        <v>110</v>
      </c>
      <c r="F9" s="121">
        <f>'12.Önk kiad'!V80</f>
        <v>244315758</v>
      </c>
      <c r="G9" s="120">
        <f>'12.Önk kiad'!W80</f>
        <v>162244318</v>
      </c>
    </row>
    <row r="10" spans="1:7" x14ac:dyDescent="0.25">
      <c r="A10" s="153" t="s">
        <v>20</v>
      </c>
      <c r="B10" s="4" t="s">
        <v>179</v>
      </c>
      <c r="C10" s="121"/>
      <c r="D10" s="121"/>
      <c r="E10" s="4" t="s">
        <v>182</v>
      </c>
      <c r="F10" s="120">
        <v>237826629</v>
      </c>
      <c r="G10" s="120">
        <v>237826629</v>
      </c>
    </row>
    <row r="11" spans="1:7" x14ac:dyDescent="0.25">
      <c r="A11" s="153" t="s">
        <v>29</v>
      </c>
      <c r="B11" s="4" t="s">
        <v>180</v>
      </c>
      <c r="C11" s="121"/>
      <c r="D11" s="121"/>
      <c r="E11" s="4" t="s">
        <v>114</v>
      </c>
      <c r="F11" s="121">
        <f>'12.Önk kiad'!P80</f>
        <v>1626435</v>
      </c>
      <c r="G11" s="121">
        <f>'12.Önk kiad'!Q80</f>
        <v>11191192</v>
      </c>
    </row>
    <row r="12" spans="1:7" x14ac:dyDescent="0.25">
      <c r="A12" s="153" t="s">
        <v>51</v>
      </c>
      <c r="B12" s="4" t="s">
        <v>181</v>
      </c>
      <c r="C12" s="121"/>
      <c r="D12" s="121"/>
      <c r="E12" s="4" t="s">
        <v>602</v>
      </c>
      <c r="F12" s="121"/>
      <c r="G12" s="120">
        <v>51795452</v>
      </c>
    </row>
    <row r="13" spans="1:7" ht="16.5" thickBot="1" x14ac:dyDescent="0.3">
      <c r="A13" s="154" t="s">
        <v>53</v>
      </c>
      <c r="B13" s="10" t="s">
        <v>289</v>
      </c>
      <c r="C13" s="125">
        <f>'7.Önk bev.'!K66</f>
        <v>0</v>
      </c>
      <c r="D13" s="125"/>
      <c r="E13" s="10"/>
      <c r="F13" s="125"/>
      <c r="G13" s="120"/>
    </row>
    <row r="14" spans="1:7" ht="16.5" thickBot="1" x14ac:dyDescent="0.3">
      <c r="A14" s="33" t="s">
        <v>55</v>
      </c>
      <c r="B14" s="9" t="s">
        <v>183</v>
      </c>
      <c r="C14" s="115">
        <f>C7+C9+C12+C13</f>
        <v>696302361</v>
      </c>
      <c r="D14" s="115">
        <f>D7+D9+D12+D13</f>
        <v>233533321</v>
      </c>
      <c r="E14" s="9" t="s">
        <v>270</v>
      </c>
      <c r="F14" s="117">
        <f>F7+F9+F11+F12</f>
        <v>753427390</v>
      </c>
      <c r="G14" s="118">
        <f>G7+G9+G11+G12</f>
        <v>233533321</v>
      </c>
    </row>
    <row r="15" spans="1:7" x14ac:dyDescent="0.25">
      <c r="A15" s="155" t="s">
        <v>57</v>
      </c>
      <c r="B15" s="65" t="s">
        <v>165</v>
      </c>
      <c r="C15" s="64">
        <f>C16</f>
        <v>57125029</v>
      </c>
      <c r="D15" s="64">
        <f>D16</f>
        <v>0</v>
      </c>
      <c r="E15" s="8" t="s">
        <v>243</v>
      </c>
      <c r="F15" s="63"/>
      <c r="G15" s="120"/>
    </row>
    <row r="16" spans="1:7" x14ac:dyDescent="0.25">
      <c r="A16" s="153" t="s">
        <v>58</v>
      </c>
      <c r="B16" s="4" t="s">
        <v>163</v>
      </c>
      <c r="C16" s="121">
        <v>57125029</v>
      </c>
      <c r="D16" s="121"/>
      <c r="E16" s="4"/>
      <c r="F16" s="121"/>
      <c r="G16" s="120"/>
    </row>
    <row r="17" spans="1:7" x14ac:dyDescent="0.25">
      <c r="A17" s="153" t="s">
        <v>66</v>
      </c>
      <c r="B17" s="4" t="s">
        <v>166</v>
      </c>
      <c r="C17" s="121">
        <f>C18</f>
        <v>0</v>
      </c>
      <c r="D17" s="121">
        <f>D18</f>
        <v>0</v>
      </c>
      <c r="E17" s="4"/>
      <c r="F17" s="121"/>
      <c r="G17" s="120"/>
    </row>
    <row r="18" spans="1:7" ht="16.5" thickBot="1" x14ac:dyDescent="0.3">
      <c r="A18" s="154" t="s">
        <v>68</v>
      </c>
      <c r="B18" s="10" t="s">
        <v>184</v>
      </c>
      <c r="C18" s="125"/>
      <c r="D18" s="125"/>
      <c r="E18" s="10"/>
      <c r="F18" s="125"/>
      <c r="G18" s="122"/>
    </row>
    <row r="19" spans="1:7" ht="16.5" thickBot="1" x14ac:dyDescent="0.3">
      <c r="A19" s="33" t="s">
        <v>70</v>
      </c>
      <c r="B19" s="9" t="s">
        <v>185</v>
      </c>
      <c r="C19" s="115">
        <f>C15+C17</f>
        <v>57125029</v>
      </c>
      <c r="D19" s="115">
        <f>D15+D17</f>
        <v>0</v>
      </c>
      <c r="E19" s="9" t="s">
        <v>186</v>
      </c>
      <c r="F19" s="117"/>
      <c r="G19" s="130"/>
    </row>
    <row r="20" spans="1:7" ht="16.5" thickBot="1" x14ac:dyDescent="0.3">
      <c r="A20" s="156" t="s">
        <v>76</v>
      </c>
      <c r="B20" s="37" t="s">
        <v>168</v>
      </c>
      <c r="C20" s="115">
        <f>C14+C19</f>
        <v>753427390</v>
      </c>
      <c r="D20" s="115">
        <f>D14+D19</f>
        <v>233533321</v>
      </c>
      <c r="E20" s="9" t="s">
        <v>171</v>
      </c>
      <c r="F20" s="117">
        <f>F14+F19</f>
        <v>753427390</v>
      </c>
      <c r="G20" s="118">
        <f>G14+G19</f>
        <v>233533321</v>
      </c>
    </row>
    <row r="21" spans="1:7" ht="16.5" thickBot="1" x14ac:dyDescent="0.3">
      <c r="A21" s="157" t="s">
        <v>78</v>
      </c>
      <c r="B21" s="37" t="s">
        <v>173</v>
      </c>
      <c r="C21" s="115">
        <f>F14-C14</f>
        <v>57125029</v>
      </c>
      <c r="D21" s="115">
        <f>G14-D14</f>
        <v>0</v>
      </c>
      <c r="E21" s="9" t="s">
        <v>172</v>
      </c>
      <c r="F21" s="117">
        <v>0</v>
      </c>
      <c r="G21" s="118">
        <v>0</v>
      </c>
    </row>
    <row r="22" spans="1:7" ht="16.5" thickBot="1" x14ac:dyDescent="0.3">
      <c r="A22" s="158" t="s">
        <v>154</v>
      </c>
      <c r="B22" s="37" t="s">
        <v>174</v>
      </c>
      <c r="C22" s="115">
        <f>C20-F20</f>
        <v>0</v>
      </c>
      <c r="D22" s="115">
        <f>D20-G20</f>
        <v>0</v>
      </c>
      <c r="E22" s="9" t="s">
        <v>175</v>
      </c>
      <c r="F22" s="117">
        <v>0</v>
      </c>
      <c r="G22" s="118">
        <f>G20-D20</f>
        <v>0</v>
      </c>
    </row>
  </sheetData>
  <mergeCells count="4">
    <mergeCell ref="B1:G1"/>
    <mergeCell ref="A2:G2"/>
    <mergeCell ref="A3:G3"/>
    <mergeCell ref="A4:G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  <pageSetUpPr fitToPage="1"/>
  </sheetPr>
  <dimension ref="A1:AB71"/>
  <sheetViews>
    <sheetView showWhiteSpace="0" zoomScaleNormal="100" zoomScaleSheetLayoutView="100" workbookViewId="0">
      <pane xSplit="4" ySplit="5" topLeftCell="P6" activePane="bottomRight" state="frozen"/>
      <selection pane="topRight" activeCell="D1" sqref="D1"/>
      <selection pane="bottomLeft" activeCell="A6" sqref="A6"/>
      <selection pane="bottomRight" activeCell="Q1" sqref="Q1:Y1"/>
    </sheetView>
  </sheetViews>
  <sheetFormatPr defaultRowHeight="15" x14ac:dyDescent="0.25"/>
  <cols>
    <col min="1" max="1" width="7" style="270" customWidth="1"/>
    <col min="2" max="2" width="8.28515625" style="272" hidden="1" customWidth="1"/>
    <col min="3" max="3" width="14" style="272" customWidth="1"/>
    <col min="4" max="4" width="63.5703125" style="272" customWidth="1"/>
    <col min="5" max="5" width="15.7109375" style="273" bestFit="1" customWidth="1"/>
    <col min="6" max="6" width="17.140625" style="273" customWidth="1"/>
    <col min="7" max="7" width="16.5703125" style="273" customWidth="1"/>
    <col min="8" max="8" width="12.42578125" style="273" bestFit="1" customWidth="1"/>
    <col min="9" max="9" width="21.85546875" style="273" customWidth="1"/>
    <col min="10" max="10" width="21" style="273" customWidth="1"/>
    <col min="11" max="12" width="12.42578125" style="273" customWidth="1"/>
    <col min="13" max="13" width="17" style="273" customWidth="1"/>
    <col min="14" max="14" width="14" style="273" customWidth="1"/>
    <col min="15" max="15" width="16.7109375" style="273" customWidth="1"/>
    <col min="16" max="16" width="14" style="273" customWidth="1"/>
    <col min="17" max="17" width="14.28515625" style="273" customWidth="1"/>
    <col min="18" max="18" width="12.5703125" style="273" customWidth="1"/>
    <col min="19" max="19" width="17" style="273" customWidth="1"/>
    <col min="20" max="20" width="16.42578125" style="273" customWidth="1"/>
    <col min="21" max="21" width="19.28515625" style="273" customWidth="1"/>
    <col min="22" max="22" width="17.42578125" style="273" customWidth="1"/>
    <col min="23" max="23" width="17.140625" style="273" customWidth="1"/>
    <col min="24" max="24" width="16.85546875" style="273" bestFit="1" customWidth="1"/>
    <col min="25" max="25" width="18.85546875" style="273" customWidth="1"/>
    <col min="26" max="26" width="17.42578125" style="272" customWidth="1"/>
    <col min="27" max="27" width="21.85546875" style="272" customWidth="1"/>
    <col min="28" max="28" width="17.42578125" style="272" customWidth="1"/>
    <col min="29" max="16384" width="9.140625" style="272"/>
  </cols>
  <sheetData>
    <row r="1" spans="1:27" x14ac:dyDescent="0.25">
      <c r="B1" s="271"/>
      <c r="Q1" s="322" t="s">
        <v>611</v>
      </c>
      <c r="R1" s="322"/>
      <c r="S1" s="322"/>
      <c r="T1" s="322"/>
      <c r="U1" s="322"/>
      <c r="V1" s="322"/>
      <c r="W1" s="322"/>
      <c r="X1" s="322"/>
      <c r="Y1" s="322"/>
    </row>
    <row r="2" spans="1:27" ht="45.75" customHeight="1" x14ac:dyDescent="0.25">
      <c r="A2" s="274"/>
      <c r="B2" s="275">
        <v>1</v>
      </c>
      <c r="C2" s="275"/>
      <c r="D2" s="323" t="s">
        <v>552</v>
      </c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323"/>
    </row>
    <row r="3" spans="1:27" ht="45.75" customHeight="1" x14ac:dyDescent="0.25">
      <c r="A3" s="274" t="s">
        <v>147</v>
      </c>
      <c r="B3" s="275"/>
      <c r="C3" s="275" t="s">
        <v>170</v>
      </c>
      <c r="D3" s="276" t="s">
        <v>148</v>
      </c>
      <c r="E3" s="327" t="s">
        <v>149</v>
      </c>
      <c r="F3" s="328"/>
      <c r="G3" s="327" t="s">
        <v>150</v>
      </c>
      <c r="H3" s="328"/>
      <c r="I3" s="327" t="s">
        <v>188</v>
      </c>
      <c r="J3" s="328"/>
      <c r="K3" s="327" t="s">
        <v>194</v>
      </c>
      <c r="L3" s="328"/>
      <c r="M3" s="327" t="s">
        <v>195</v>
      </c>
      <c r="N3" s="328"/>
      <c r="O3" s="327" t="s">
        <v>196</v>
      </c>
      <c r="P3" s="328"/>
      <c r="Q3" s="327" t="s">
        <v>197</v>
      </c>
      <c r="R3" s="328"/>
      <c r="S3" s="327" t="s">
        <v>244</v>
      </c>
      <c r="T3" s="328"/>
      <c r="U3" s="327" t="s">
        <v>229</v>
      </c>
      <c r="V3" s="328"/>
      <c r="W3" s="327" t="s">
        <v>354</v>
      </c>
      <c r="X3" s="328"/>
      <c r="Y3" s="327" t="s">
        <v>230</v>
      </c>
      <c r="Z3" s="328"/>
    </row>
    <row r="4" spans="1:27" ht="62.25" customHeight="1" x14ac:dyDescent="0.25">
      <c r="A4" s="274" t="s">
        <v>3</v>
      </c>
      <c r="B4" s="275">
        <v>2</v>
      </c>
      <c r="C4" s="277" t="s">
        <v>198</v>
      </c>
      <c r="D4" s="278" t="s">
        <v>199</v>
      </c>
      <c r="E4" s="324" t="s">
        <v>158</v>
      </c>
      <c r="F4" s="325"/>
      <c r="G4" s="324" t="s">
        <v>157</v>
      </c>
      <c r="H4" s="325"/>
      <c r="I4" s="324" t="s">
        <v>200</v>
      </c>
      <c r="J4" s="325"/>
      <c r="K4" s="324" t="s">
        <v>289</v>
      </c>
      <c r="L4" s="325"/>
      <c r="M4" s="324" t="s">
        <v>201</v>
      </c>
      <c r="N4" s="325"/>
      <c r="O4" s="324" t="s">
        <v>202</v>
      </c>
      <c r="P4" s="325"/>
      <c r="Q4" s="324" t="s">
        <v>203</v>
      </c>
      <c r="R4" s="325"/>
      <c r="S4" s="324" t="s">
        <v>52</v>
      </c>
      <c r="T4" s="325"/>
      <c r="U4" s="324" t="s">
        <v>297</v>
      </c>
      <c r="V4" s="325"/>
      <c r="W4" s="324" t="s">
        <v>565</v>
      </c>
      <c r="X4" s="325"/>
      <c r="Y4" s="326" t="s">
        <v>204</v>
      </c>
      <c r="Z4" s="326"/>
    </row>
    <row r="5" spans="1:27" s="281" customFormat="1" ht="32.25" customHeight="1" x14ac:dyDescent="0.25">
      <c r="A5" s="274" t="s">
        <v>5</v>
      </c>
      <c r="B5" s="279">
        <v>3</v>
      </c>
      <c r="C5" s="279"/>
      <c r="D5" s="278" t="s">
        <v>187</v>
      </c>
      <c r="E5" s="280" t="s">
        <v>539</v>
      </c>
      <c r="F5" s="56" t="s">
        <v>540</v>
      </c>
      <c r="G5" s="280" t="s">
        <v>539</v>
      </c>
      <c r="H5" s="56" t="s">
        <v>540</v>
      </c>
      <c r="I5" s="280" t="s">
        <v>539</v>
      </c>
      <c r="J5" s="56" t="s">
        <v>540</v>
      </c>
      <c r="K5" s="280" t="s">
        <v>539</v>
      </c>
      <c r="L5" s="56" t="s">
        <v>540</v>
      </c>
      <c r="M5" s="280" t="s">
        <v>539</v>
      </c>
      <c r="N5" s="56" t="s">
        <v>540</v>
      </c>
      <c r="O5" s="280" t="s">
        <v>539</v>
      </c>
      <c r="P5" s="56" t="s">
        <v>540</v>
      </c>
      <c r="Q5" s="280" t="s">
        <v>539</v>
      </c>
      <c r="R5" s="56" t="s">
        <v>540</v>
      </c>
      <c r="S5" s="280" t="s">
        <v>539</v>
      </c>
      <c r="T5" s="56" t="s">
        <v>540</v>
      </c>
      <c r="U5" s="280" t="s">
        <v>539</v>
      </c>
      <c r="V5" s="56" t="s">
        <v>540</v>
      </c>
      <c r="W5" s="280" t="s">
        <v>546</v>
      </c>
      <c r="X5" s="56" t="s">
        <v>540</v>
      </c>
      <c r="Y5" s="280" t="s">
        <v>546</v>
      </c>
      <c r="Z5" s="56" t="s">
        <v>540</v>
      </c>
    </row>
    <row r="6" spans="1:27" x14ac:dyDescent="0.25">
      <c r="A6" s="274" t="s">
        <v>15</v>
      </c>
      <c r="B6" s="275" t="s">
        <v>205</v>
      </c>
      <c r="C6" s="275" t="s">
        <v>205</v>
      </c>
      <c r="D6" s="282" t="s">
        <v>295</v>
      </c>
      <c r="E6" s="283"/>
      <c r="F6" s="283"/>
      <c r="G6" s="284">
        <v>170000000</v>
      </c>
      <c r="H6" s="284">
        <v>156029408</v>
      </c>
      <c r="I6" s="283"/>
      <c r="J6" s="283"/>
      <c r="K6" s="283"/>
      <c r="L6" s="283"/>
      <c r="M6" s="283"/>
      <c r="N6" s="283"/>
      <c r="O6" s="283"/>
      <c r="P6" s="283"/>
      <c r="Q6" s="285"/>
      <c r="R6" s="285"/>
      <c r="S6" s="283"/>
      <c r="T6" s="283"/>
      <c r="U6" s="283"/>
      <c r="V6" s="283"/>
      <c r="W6" s="286"/>
      <c r="X6" s="286"/>
      <c r="Y6" s="287">
        <f>E6+G6+I6+M6+O6+Q6+W6+K6+S6+U6</f>
        <v>170000000</v>
      </c>
      <c r="Z6" s="287">
        <f>F6+H6+J6+L6+N6+P6+R6+V6+X6</f>
        <v>156029408</v>
      </c>
      <c r="AA6" s="288"/>
    </row>
    <row r="7" spans="1:27" x14ac:dyDescent="0.25">
      <c r="A7" s="274" t="s">
        <v>20</v>
      </c>
      <c r="B7" s="275" t="s">
        <v>205</v>
      </c>
      <c r="C7" s="275" t="s">
        <v>205</v>
      </c>
      <c r="D7" s="282" t="s">
        <v>296</v>
      </c>
      <c r="E7" s="283"/>
      <c r="F7" s="283"/>
      <c r="G7" s="284">
        <v>180000</v>
      </c>
      <c r="H7" s="284">
        <v>141894</v>
      </c>
      <c r="I7" s="283"/>
      <c r="J7" s="283"/>
      <c r="K7" s="283"/>
      <c r="L7" s="283"/>
      <c r="M7" s="283"/>
      <c r="N7" s="283"/>
      <c r="O7" s="283"/>
      <c r="P7" s="283"/>
      <c r="Q7" s="285"/>
      <c r="R7" s="285"/>
      <c r="S7" s="283"/>
      <c r="T7" s="283"/>
      <c r="U7" s="283"/>
      <c r="V7" s="283"/>
      <c r="W7" s="283"/>
      <c r="X7" s="283"/>
      <c r="Y7" s="287">
        <f t="shared" ref="Y7:Y28" si="0">E7+G7+I7+M7+O7+Q7+W7+K7+S7+U7</f>
        <v>180000</v>
      </c>
      <c r="Z7" s="287">
        <f>F7+H7+J7+L7+N7+P7+R7+V7+X7</f>
        <v>141894</v>
      </c>
      <c r="AA7" s="288"/>
    </row>
    <row r="8" spans="1:27" x14ac:dyDescent="0.25">
      <c r="A8" s="274" t="s">
        <v>29</v>
      </c>
      <c r="B8" s="275" t="s">
        <v>205</v>
      </c>
      <c r="C8" s="275" t="s">
        <v>205</v>
      </c>
      <c r="D8" s="282" t="s">
        <v>206</v>
      </c>
      <c r="E8" s="283"/>
      <c r="F8" s="283"/>
      <c r="G8" s="284">
        <v>1930000</v>
      </c>
      <c r="H8" s="284">
        <v>1445704</v>
      </c>
      <c r="I8" s="283"/>
      <c r="J8" s="283"/>
      <c r="K8" s="283"/>
      <c r="L8" s="283"/>
      <c r="M8" s="283"/>
      <c r="N8" s="283"/>
      <c r="O8" s="283"/>
      <c r="P8" s="283"/>
      <c r="Q8" s="285"/>
      <c r="R8" s="285"/>
      <c r="S8" s="283"/>
      <c r="T8" s="283"/>
      <c r="U8" s="283"/>
      <c r="V8" s="283"/>
      <c r="W8" s="283"/>
      <c r="X8" s="283"/>
      <c r="Y8" s="287">
        <f t="shared" si="0"/>
        <v>1930000</v>
      </c>
      <c r="Z8" s="287">
        <f>F8+H8+J8+L8+N8+P8+R8+V8+X8</f>
        <v>1445704</v>
      </c>
      <c r="AA8" s="288"/>
    </row>
    <row r="9" spans="1:27" x14ac:dyDescent="0.25">
      <c r="A9" s="274" t="s">
        <v>51</v>
      </c>
      <c r="B9" s="275" t="s">
        <v>205</v>
      </c>
      <c r="C9" s="275" t="s">
        <v>205</v>
      </c>
      <c r="D9" s="282" t="s">
        <v>49</v>
      </c>
      <c r="E9" s="284"/>
      <c r="F9" s="284"/>
      <c r="G9" s="283">
        <v>10000</v>
      </c>
      <c r="H9" s="283">
        <v>0</v>
      </c>
      <c r="I9" s="283"/>
      <c r="J9" s="283"/>
      <c r="K9" s="283"/>
      <c r="L9" s="283"/>
      <c r="M9" s="283"/>
      <c r="N9" s="283"/>
      <c r="O9" s="283"/>
      <c r="P9" s="283"/>
      <c r="Q9" s="285"/>
      <c r="R9" s="285"/>
      <c r="S9" s="283"/>
      <c r="T9" s="283"/>
      <c r="U9" s="283"/>
      <c r="V9" s="283"/>
      <c r="W9" s="283"/>
      <c r="X9" s="283"/>
      <c r="Y9" s="287">
        <f t="shared" si="0"/>
        <v>10000</v>
      </c>
      <c r="Z9" s="287">
        <f>F9+H9+J9+L9+N9+P9+R9+V9+X9</f>
        <v>0</v>
      </c>
      <c r="AA9" s="288"/>
    </row>
    <row r="10" spans="1:27" x14ac:dyDescent="0.25">
      <c r="A10" s="274" t="s">
        <v>53</v>
      </c>
      <c r="B10" s="275" t="s">
        <v>205</v>
      </c>
      <c r="C10" s="275" t="s">
        <v>205</v>
      </c>
      <c r="D10" s="282" t="s">
        <v>303</v>
      </c>
      <c r="E10" s="283"/>
      <c r="F10" s="283">
        <v>331027</v>
      </c>
      <c r="G10" s="284">
        <v>949000</v>
      </c>
      <c r="H10" s="284">
        <v>1446420</v>
      </c>
      <c r="I10" s="283"/>
      <c r="J10" s="283"/>
      <c r="K10" s="283"/>
      <c r="L10" s="283"/>
      <c r="M10" s="283"/>
      <c r="N10" s="283"/>
      <c r="O10" s="283"/>
      <c r="P10" s="283"/>
      <c r="Q10" s="285"/>
      <c r="R10" s="285"/>
      <c r="S10" s="283"/>
      <c r="T10" s="283"/>
      <c r="U10" s="283"/>
      <c r="V10" s="283"/>
      <c r="W10" s="283"/>
      <c r="X10" s="283"/>
      <c r="Y10" s="287">
        <f t="shared" si="0"/>
        <v>949000</v>
      </c>
      <c r="Z10" s="287">
        <f>F10+H10+J10+L10+N10+P10+R10+V10+X10</f>
        <v>1777447</v>
      </c>
      <c r="AA10" s="288"/>
    </row>
    <row r="11" spans="1:27" x14ac:dyDescent="0.25">
      <c r="A11" s="274" t="s">
        <v>55</v>
      </c>
      <c r="B11" s="275"/>
      <c r="C11" s="275" t="s">
        <v>205</v>
      </c>
      <c r="D11" s="282" t="s">
        <v>527</v>
      </c>
      <c r="E11" s="283"/>
      <c r="F11" s="283"/>
      <c r="G11" s="284">
        <v>88000</v>
      </c>
      <c r="H11" s="284">
        <v>111600</v>
      </c>
      <c r="I11" s="283"/>
      <c r="J11" s="283"/>
      <c r="K11" s="283"/>
      <c r="L11" s="283"/>
      <c r="M11" s="283"/>
      <c r="N11" s="283"/>
      <c r="O11" s="283"/>
      <c r="P11" s="283"/>
      <c r="Q11" s="285"/>
      <c r="R11" s="285"/>
      <c r="S11" s="283"/>
      <c r="T11" s="283"/>
      <c r="U11" s="283"/>
      <c r="V11" s="283"/>
      <c r="W11" s="283"/>
      <c r="X11" s="283"/>
      <c r="Y11" s="287">
        <f t="shared" ref="Y11:Y13" si="1">E11+G11+I11+M11+O11+Q11+W11+K11+S11+U11</f>
        <v>88000</v>
      </c>
      <c r="Z11" s="287">
        <f t="shared" ref="Z11:Z13" si="2">F11+H11+J11+L11+N11+P11+R11+V11+X11</f>
        <v>111600</v>
      </c>
      <c r="AA11" s="288"/>
    </row>
    <row r="12" spans="1:27" ht="17.25" customHeight="1" x14ac:dyDescent="0.25">
      <c r="A12" s="274" t="s">
        <v>57</v>
      </c>
      <c r="B12" s="275"/>
      <c r="C12" s="275" t="s">
        <v>205</v>
      </c>
      <c r="D12" s="282" t="s">
        <v>528</v>
      </c>
      <c r="E12" s="283"/>
      <c r="F12" s="283"/>
      <c r="G12" s="284">
        <v>25000000</v>
      </c>
      <c r="H12" s="284">
        <v>19401860</v>
      </c>
      <c r="I12" s="283"/>
      <c r="J12" s="283"/>
      <c r="K12" s="283"/>
      <c r="L12" s="283"/>
      <c r="M12" s="283"/>
      <c r="N12" s="283"/>
      <c r="O12" s="283"/>
      <c r="P12" s="283"/>
      <c r="Q12" s="285"/>
      <c r="R12" s="285"/>
      <c r="S12" s="283"/>
      <c r="T12" s="283"/>
      <c r="U12" s="283"/>
      <c r="V12" s="283"/>
      <c r="W12" s="283"/>
      <c r="X12" s="283"/>
      <c r="Y12" s="287">
        <f t="shared" si="1"/>
        <v>25000000</v>
      </c>
      <c r="Z12" s="287">
        <f t="shared" si="2"/>
        <v>19401860</v>
      </c>
      <c r="AA12" s="288"/>
    </row>
    <row r="13" spans="1:27" x14ac:dyDescent="0.25">
      <c r="A13" s="274" t="s">
        <v>58</v>
      </c>
      <c r="B13" s="275"/>
      <c r="C13" s="275" t="s">
        <v>205</v>
      </c>
      <c r="D13" s="282" t="s">
        <v>472</v>
      </c>
      <c r="E13" s="283"/>
      <c r="F13" s="283"/>
      <c r="G13" s="284"/>
      <c r="H13" s="284"/>
      <c r="I13" s="283">
        <f>148053665+1009678*14</f>
        <v>162189157</v>
      </c>
      <c r="J13" s="283">
        <v>179250857</v>
      </c>
      <c r="K13" s="283"/>
      <c r="L13" s="283"/>
      <c r="M13" s="283"/>
      <c r="N13" s="283"/>
      <c r="O13" s="283"/>
      <c r="P13" s="283"/>
      <c r="Q13" s="285"/>
      <c r="R13" s="285"/>
      <c r="S13" s="283"/>
      <c r="T13" s="283"/>
      <c r="U13" s="283"/>
      <c r="V13" s="283"/>
      <c r="W13" s="283"/>
      <c r="X13" s="283"/>
      <c r="Y13" s="287">
        <f t="shared" si="1"/>
        <v>162189157</v>
      </c>
      <c r="Z13" s="287">
        <f t="shared" si="2"/>
        <v>179250857</v>
      </c>
      <c r="AA13" s="288"/>
    </row>
    <row r="14" spans="1:27" x14ac:dyDescent="0.25">
      <c r="A14" s="274" t="s">
        <v>66</v>
      </c>
      <c r="B14" s="275"/>
      <c r="C14" s="275" t="s">
        <v>205</v>
      </c>
      <c r="D14" s="282" t="s">
        <v>466</v>
      </c>
      <c r="E14" s="283"/>
      <c r="F14" s="283"/>
      <c r="G14" s="284"/>
      <c r="H14" s="284"/>
      <c r="I14" s="283">
        <v>159972470</v>
      </c>
      <c r="J14" s="283">
        <v>191847139</v>
      </c>
      <c r="K14" s="283"/>
      <c r="L14" s="283"/>
      <c r="M14" s="283"/>
      <c r="N14" s="283"/>
      <c r="O14" s="283"/>
      <c r="P14" s="283"/>
      <c r="Q14" s="285"/>
      <c r="R14" s="285"/>
      <c r="S14" s="283"/>
      <c r="T14" s="283"/>
      <c r="U14" s="283"/>
      <c r="V14" s="283"/>
      <c r="W14" s="283"/>
      <c r="X14" s="283"/>
      <c r="Y14" s="287">
        <f t="shared" ref="Y14" si="3">E14+G14+I14+M14+O14+Q14+W14+K14+S14+U14</f>
        <v>159972470</v>
      </c>
      <c r="Z14" s="287">
        <f t="shared" ref="Z14" si="4">F14+H14+J14+L14+N14+P14+R14+V14+X14</f>
        <v>191847139</v>
      </c>
      <c r="AA14" s="288"/>
    </row>
    <row r="15" spans="1:27" x14ac:dyDescent="0.25">
      <c r="A15" s="274" t="s">
        <v>68</v>
      </c>
      <c r="B15" s="275"/>
      <c r="C15" s="275" t="s">
        <v>205</v>
      </c>
      <c r="D15" s="282" t="s">
        <v>377</v>
      </c>
      <c r="E15" s="283"/>
      <c r="F15" s="283"/>
      <c r="G15" s="283"/>
      <c r="H15" s="283"/>
      <c r="I15" s="284">
        <f>9779178+7140000+1504840+125000+11017700+6343500+18345000+2095469+6334200</f>
        <v>62684887</v>
      </c>
      <c r="J15" s="284">
        <v>107444055</v>
      </c>
      <c r="K15" s="283"/>
      <c r="L15" s="284"/>
      <c r="M15" s="283"/>
      <c r="N15" s="283"/>
      <c r="O15" s="283"/>
      <c r="P15" s="283"/>
      <c r="Q15" s="285"/>
      <c r="R15" s="285"/>
      <c r="S15" s="283"/>
      <c r="T15" s="283"/>
      <c r="U15" s="283"/>
      <c r="V15" s="283"/>
      <c r="W15" s="283"/>
      <c r="X15" s="283"/>
      <c r="Y15" s="287">
        <f t="shared" si="0"/>
        <v>62684887</v>
      </c>
      <c r="Z15" s="287">
        <f t="shared" ref="Y15:Z28" si="5">F15+H15+J15+L15+N15+P15+R15+V15+X15</f>
        <v>107444055</v>
      </c>
      <c r="AA15" s="288"/>
    </row>
    <row r="16" spans="1:27" x14ac:dyDescent="0.25">
      <c r="A16" s="274" t="s">
        <v>70</v>
      </c>
      <c r="B16" s="275"/>
      <c r="C16" s="275" t="s">
        <v>207</v>
      </c>
      <c r="D16" s="282" t="s">
        <v>378</v>
      </c>
      <c r="E16" s="283"/>
      <c r="F16" s="283"/>
      <c r="G16" s="283"/>
      <c r="H16" s="283"/>
      <c r="I16" s="284">
        <f>62329600+43194708</f>
        <v>105524308</v>
      </c>
      <c r="J16" s="284">
        <v>96803518</v>
      </c>
      <c r="K16" s="283"/>
      <c r="L16" s="284"/>
      <c r="M16" s="283"/>
      <c r="N16" s="283"/>
      <c r="O16" s="283"/>
      <c r="P16" s="283"/>
      <c r="Q16" s="285"/>
      <c r="R16" s="285"/>
      <c r="S16" s="283"/>
      <c r="T16" s="283"/>
      <c r="U16" s="283"/>
      <c r="V16" s="283"/>
      <c r="W16" s="283"/>
      <c r="X16" s="283"/>
      <c r="Y16" s="287">
        <f t="shared" si="0"/>
        <v>105524308</v>
      </c>
      <c r="Z16" s="287">
        <f t="shared" si="5"/>
        <v>96803518</v>
      </c>
      <c r="AA16" s="288"/>
    </row>
    <row r="17" spans="1:27" x14ac:dyDescent="0.25">
      <c r="A17" s="274" t="s">
        <v>76</v>
      </c>
      <c r="B17" s="275"/>
      <c r="C17" s="275" t="s">
        <v>205</v>
      </c>
      <c r="D17" s="282" t="s">
        <v>379</v>
      </c>
      <c r="E17" s="283"/>
      <c r="F17" s="283"/>
      <c r="G17" s="283"/>
      <c r="H17" s="283"/>
      <c r="I17" s="284">
        <f>12792240+11220840</f>
        <v>24013080</v>
      </c>
      <c r="J17" s="284">
        <v>29887053</v>
      </c>
      <c r="K17" s="283"/>
      <c r="L17" s="284"/>
      <c r="M17" s="283"/>
      <c r="N17" s="283"/>
      <c r="O17" s="283"/>
      <c r="P17" s="283"/>
      <c r="Q17" s="285"/>
      <c r="R17" s="285"/>
      <c r="S17" s="283"/>
      <c r="T17" s="283"/>
      <c r="U17" s="283"/>
      <c r="V17" s="283"/>
      <c r="W17" s="283"/>
      <c r="X17" s="283"/>
      <c r="Y17" s="287">
        <f t="shared" si="0"/>
        <v>24013080</v>
      </c>
      <c r="Z17" s="287">
        <f t="shared" si="5"/>
        <v>29887053</v>
      </c>
      <c r="AA17" s="288"/>
    </row>
    <row r="18" spans="1:27" x14ac:dyDescent="0.25">
      <c r="A18" s="274" t="s">
        <v>78</v>
      </c>
      <c r="B18" s="275"/>
      <c r="C18" s="275" t="s">
        <v>205</v>
      </c>
      <c r="D18" s="282" t="s">
        <v>380</v>
      </c>
      <c r="E18" s="283"/>
      <c r="F18" s="283"/>
      <c r="G18" s="283"/>
      <c r="H18" s="283"/>
      <c r="I18" s="284">
        <v>197505</v>
      </c>
      <c r="J18" s="284">
        <v>412167</v>
      </c>
      <c r="K18" s="283"/>
      <c r="L18" s="284"/>
      <c r="M18" s="283"/>
      <c r="N18" s="283"/>
      <c r="O18" s="283"/>
      <c r="P18" s="283"/>
      <c r="Q18" s="285"/>
      <c r="R18" s="285"/>
      <c r="S18" s="283"/>
      <c r="T18" s="283"/>
      <c r="U18" s="283"/>
      <c r="V18" s="283"/>
      <c r="W18" s="283"/>
      <c r="X18" s="283"/>
      <c r="Y18" s="287">
        <f t="shared" si="0"/>
        <v>197505</v>
      </c>
      <c r="Z18" s="287">
        <f t="shared" si="5"/>
        <v>412167</v>
      </c>
      <c r="AA18" s="288"/>
    </row>
    <row r="19" spans="1:27" x14ac:dyDescent="0.25">
      <c r="A19" s="274" t="s">
        <v>154</v>
      </c>
      <c r="B19" s="275"/>
      <c r="C19" s="275" t="s">
        <v>205</v>
      </c>
      <c r="D19" s="282" t="s">
        <v>381</v>
      </c>
      <c r="E19" s="283"/>
      <c r="F19" s="283"/>
      <c r="G19" s="283"/>
      <c r="H19" s="283"/>
      <c r="I19" s="284">
        <f>7497644+4965878</f>
        <v>12463522</v>
      </c>
      <c r="J19" s="284">
        <v>12613522</v>
      </c>
      <c r="K19" s="283"/>
      <c r="L19" s="284"/>
      <c r="M19" s="283"/>
      <c r="N19" s="283"/>
      <c r="O19" s="283"/>
      <c r="P19" s="283"/>
      <c r="Q19" s="285"/>
      <c r="R19" s="285"/>
      <c r="S19" s="283"/>
      <c r="T19" s="283"/>
      <c r="U19" s="283"/>
      <c r="V19" s="283"/>
      <c r="W19" s="283"/>
      <c r="X19" s="283"/>
      <c r="Y19" s="287">
        <f t="shared" si="0"/>
        <v>12463522</v>
      </c>
      <c r="Z19" s="287">
        <f t="shared" si="5"/>
        <v>12613522</v>
      </c>
      <c r="AA19" s="288"/>
    </row>
    <row r="20" spans="1:27" x14ac:dyDescent="0.25">
      <c r="A20" s="274" t="s">
        <v>82</v>
      </c>
      <c r="B20" s="275"/>
      <c r="C20" s="275" t="s">
        <v>205</v>
      </c>
      <c r="D20" s="282" t="s">
        <v>382</v>
      </c>
      <c r="E20" s="283"/>
      <c r="F20" s="283"/>
      <c r="G20" s="283"/>
      <c r="H20" s="283"/>
      <c r="I20" s="284">
        <f>384322937+15518430</f>
        <v>399841367</v>
      </c>
      <c r="J20" s="284">
        <v>179616145</v>
      </c>
      <c r="K20" s="283"/>
      <c r="L20" s="284"/>
      <c r="M20" s="283"/>
      <c r="N20" s="283"/>
      <c r="O20" s="283"/>
      <c r="P20" s="283"/>
      <c r="Q20" s="285"/>
      <c r="R20" s="285"/>
      <c r="S20" s="283"/>
      <c r="T20" s="283"/>
      <c r="U20" s="283"/>
      <c r="V20" s="283"/>
      <c r="W20" s="283"/>
      <c r="X20" s="283"/>
      <c r="Y20" s="287">
        <f t="shared" si="0"/>
        <v>399841367</v>
      </c>
      <c r="Z20" s="287">
        <f t="shared" si="5"/>
        <v>179616145</v>
      </c>
      <c r="AA20" s="288"/>
    </row>
    <row r="21" spans="1:27" x14ac:dyDescent="0.25">
      <c r="A21" s="274" t="s">
        <v>84</v>
      </c>
      <c r="B21" s="275"/>
      <c r="C21" s="275" t="s">
        <v>205</v>
      </c>
      <c r="D21" s="282" t="s">
        <v>537</v>
      </c>
      <c r="E21" s="283"/>
      <c r="F21" s="283"/>
      <c r="G21" s="283"/>
      <c r="H21" s="283"/>
      <c r="I21" s="284">
        <f>4228035+3611993</f>
        <v>7840028</v>
      </c>
      <c r="J21" s="284">
        <v>9556011</v>
      </c>
      <c r="K21" s="283"/>
      <c r="L21" s="284"/>
      <c r="M21" s="283"/>
      <c r="N21" s="283"/>
      <c r="O21" s="283"/>
      <c r="P21" s="283"/>
      <c r="Q21" s="285"/>
      <c r="R21" s="285"/>
      <c r="S21" s="283"/>
      <c r="T21" s="283"/>
      <c r="U21" s="283"/>
      <c r="V21" s="283"/>
      <c r="W21" s="283"/>
      <c r="X21" s="283"/>
      <c r="Y21" s="287">
        <f t="shared" ref="Y21" si="6">E21+G21+I21+M21+O21+Q21+W21+K21+S21+U21</f>
        <v>7840028</v>
      </c>
      <c r="Z21" s="287">
        <f t="shared" ref="Z21" si="7">F21+H21+J21+L21+N21+P21+R21+V21+X21</f>
        <v>9556011</v>
      </c>
      <c r="AA21" s="288"/>
    </row>
    <row r="22" spans="1:27" x14ac:dyDescent="0.25">
      <c r="A22" s="274" t="s">
        <v>305</v>
      </c>
      <c r="B22" s="275"/>
      <c r="C22" s="275" t="s">
        <v>205</v>
      </c>
      <c r="D22" s="282" t="s">
        <v>376</v>
      </c>
      <c r="E22" s="283">
        <v>8000</v>
      </c>
      <c r="F22" s="283">
        <v>8000</v>
      </c>
      <c r="G22" s="283"/>
      <c r="H22" s="283"/>
      <c r="I22" s="284"/>
      <c r="J22" s="284"/>
      <c r="K22" s="284"/>
      <c r="L22" s="284"/>
      <c r="M22" s="283"/>
      <c r="N22" s="283"/>
      <c r="O22" s="283"/>
      <c r="P22" s="283"/>
      <c r="Q22" s="285"/>
      <c r="R22" s="285"/>
      <c r="S22" s="283"/>
      <c r="T22" s="283"/>
      <c r="U22" s="283"/>
      <c r="V22" s="283"/>
      <c r="W22" s="283"/>
      <c r="X22" s="283"/>
      <c r="Y22" s="287">
        <f t="shared" si="0"/>
        <v>8000</v>
      </c>
      <c r="Z22" s="287">
        <f t="shared" si="5"/>
        <v>8000</v>
      </c>
      <c r="AA22" s="288"/>
    </row>
    <row r="23" spans="1:27" x14ac:dyDescent="0.25">
      <c r="A23" s="274" t="s">
        <v>306</v>
      </c>
      <c r="B23" s="275" t="s">
        <v>205</v>
      </c>
      <c r="C23" s="275" t="s">
        <v>205</v>
      </c>
      <c r="D23" s="282" t="s">
        <v>383</v>
      </c>
      <c r="E23" s="283"/>
      <c r="F23" s="283"/>
      <c r="G23" s="283"/>
      <c r="H23" s="283"/>
      <c r="I23" s="283"/>
      <c r="J23" s="283"/>
      <c r="K23" s="283"/>
      <c r="L23" s="283"/>
      <c r="M23" s="284">
        <v>91788885</v>
      </c>
      <c r="N23" s="284">
        <v>84406876</v>
      </c>
      <c r="O23" s="283"/>
      <c r="P23" s="283">
        <v>883598</v>
      </c>
      <c r="Q23" s="283"/>
      <c r="R23" s="283"/>
      <c r="S23" s="283"/>
      <c r="T23" s="283"/>
      <c r="U23" s="283"/>
      <c r="V23" s="283"/>
      <c r="W23" s="283"/>
      <c r="X23" s="283"/>
      <c r="Y23" s="287">
        <f t="shared" si="0"/>
        <v>91788885</v>
      </c>
      <c r="Z23" s="287">
        <f t="shared" si="5"/>
        <v>85290474</v>
      </c>
      <c r="AA23" s="288"/>
    </row>
    <row r="24" spans="1:27" x14ac:dyDescent="0.25">
      <c r="A24" s="274" t="s">
        <v>307</v>
      </c>
      <c r="B24" s="275" t="s">
        <v>205</v>
      </c>
      <c r="C24" s="275" t="s">
        <v>205</v>
      </c>
      <c r="D24" s="282" t="s">
        <v>208</v>
      </c>
      <c r="E24" s="283"/>
      <c r="F24" s="283"/>
      <c r="G24" s="283"/>
      <c r="H24" s="283"/>
      <c r="I24" s="283"/>
      <c r="J24" s="283"/>
      <c r="K24" s="283"/>
      <c r="L24" s="283"/>
      <c r="M24" s="284">
        <v>4262130</v>
      </c>
      <c r="N24" s="284">
        <v>23998281</v>
      </c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7">
        <f t="shared" si="0"/>
        <v>4262130</v>
      </c>
      <c r="Z24" s="287">
        <f t="shared" si="5"/>
        <v>23998281</v>
      </c>
      <c r="AA24" s="288"/>
    </row>
    <row r="25" spans="1:27" x14ac:dyDescent="0.25">
      <c r="A25" s="274" t="s">
        <v>308</v>
      </c>
      <c r="B25" s="275" t="s">
        <v>205</v>
      </c>
      <c r="C25" s="275" t="s">
        <v>207</v>
      </c>
      <c r="D25" s="282" t="s">
        <v>437</v>
      </c>
      <c r="E25" s="283"/>
      <c r="F25" s="283"/>
      <c r="G25" s="283"/>
      <c r="H25" s="283"/>
      <c r="I25" s="283"/>
      <c r="J25" s="283"/>
      <c r="K25" s="283"/>
      <c r="L25" s="283"/>
      <c r="M25" s="284">
        <f>(50000+18900)*12+20000*12</f>
        <v>1066800</v>
      </c>
      <c r="N25" s="284">
        <v>942800</v>
      </c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7">
        <f t="shared" si="0"/>
        <v>1066800</v>
      </c>
      <c r="Z25" s="287">
        <f t="shared" si="5"/>
        <v>942800</v>
      </c>
      <c r="AA25" s="288"/>
    </row>
    <row r="26" spans="1:27" x14ac:dyDescent="0.25">
      <c r="A26" s="274" t="s">
        <v>309</v>
      </c>
      <c r="B26" s="275"/>
      <c r="C26" s="275" t="s">
        <v>205</v>
      </c>
      <c r="D26" s="282" t="s">
        <v>463</v>
      </c>
      <c r="E26" s="283"/>
      <c r="F26" s="283"/>
      <c r="G26" s="283"/>
      <c r="H26" s="283"/>
      <c r="I26" s="283"/>
      <c r="J26" s="283"/>
      <c r="K26" s="283"/>
      <c r="L26" s="283"/>
      <c r="M26" s="284">
        <v>5076775</v>
      </c>
      <c r="N26" s="284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7">
        <f t="shared" si="5"/>
        <v>5076775</v>
      </c>
      <c r="Z26" s="287">
        <f t="shared" si="5"/>
        <v>0</v>
      </c>
      <c r="AA26" s="288"/>
    </row>
    <row r="27" spans="1:27" x14ac:dyDescent="0.25">
      <c r="A27" s="274" t="s">
        <v>310</v>
      </c>
      <c r="B27" s="275" t="s">
        <v>205</v>
      </c>
      <c r="C27" s="275" t="s">
        <v>205</v>
      </c>
      <c r="D27" s="282" t="s">
        <v>209</v>
      </c>
      <c r="E27" s="283">
        <f>2930000+7030000+460000+28300000+4000000+20000</f>
        <v>42740000</v>
      </c>
      <c r="F27" s="283">
        <v>53651580</v>
      </c>
      <c r="G27" s="283"/>
      <c r="H27" s="283"/>
      <c r="I27" s="283"/>
      <c r="J27" s="283"/>
      <c r="K27" s="283"/>
      <c r="L27" s="283"/>
      <c r="M27" s="283"/>
      <c r="N27" s="283">
        <v>1588969</v>
      </c>
      <c r="O27" s="283"/>
      <c r="P27" s="283"/>
      <c r="Q27" s="283"/>
      <c r="R27" s="283"/>
      <c r="S27" s="283"/>
      <c r="T27" s="283">
        <v>1614961</v>
      </c>
      <c r="U27" s="283"/>
      <c r="V27" s="283"/>
      <c r="W27" s="283"/>
      <c r="X27" s="283"/>
      <c r="Y27" s="287">
        <f t="shared" si="0"/>
        <v>42740000</v>
      </c>
      <c r="Z27" s="287">
        <f>F27+H27+J27+L27+N27+P27+R27+V27+X27+T27</f>
        <v>56855510</v>
      </c>
      <c r="AA27" s="288"/>
    </row>
    <row r="28" spans="1:27" x14ac:dyDescent="0.25">
      <c r="A28" s="274" t="s">
        <v>311</v>
      </c>
      <c r="B28" s="275" t="s">
        <v>207</v>
      </c>
      <c r="C28" s="275" t="s">
        <v>393</v>
      </c>
      <c r="D28" s="282" t="s">
        <v>210</v>
      </c>
      <c r="E28" s="284">
        <v>6500000</v>
      </c>
      <c r="F28" s="284">
        <v>9286535</v>
      </c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>
        <v>7836718</v>
      </c>
      <c r="V28" s="283">
        <v>7836718</v>
      </c>
      <c r="W28" s="283"/>
      <c r="X28" s="283"/>
      <c r="Y28" s="287">
        <f t="shared" si="0"/>
        <v>14336718</v>
      </c>
      <c r="Z28" s="287">
        <f t="shared" si="5"/>
        <v>17123253</v>
      </c>
      <c r="AA28" s="288"/>
    </row>
    <row r="29" spans="1:27" x14ac:dyDescent="0.25">
      <c r="A29" s="274" t="s">
        <v>520</v>
      </c>
      <c r="B29" s="275"/>
      <c r="C29" s="275" t="s">
        <v>207</v>
      </c>
      <c r="D29" s="282" t="s">
        <v>477</v>
      </c>
      <c r="E29" s="284">
        <f>3718000+8662000</f>
        <v>12380000</v>
      </c>
      <c r="F29" s="284">
        <v>9222902</v>
      </c>
      <c r="G29" s="283"/>
      <c r="H29" s="283"/>
      <c r="I29" s="283"/>
      <c r="J29" s="283"/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7">
        <f t="shared" ref="Y29:Y30" si="8">E29+G29+I29+M29+O29+Q29+W29+K29+S29+U29</f>
        <v>12380000</v>
      </c>
      <c r="Z29" s="287">
        <f t="shared" ref="Z29:Z30" si="9">F29+H29+J29+L29+N29+P29+R29+V29+X29</f>
        <v>9222902</v>
      </c>
      <c r="AA29" s="288"/>
    </row>
    <row r="30" spans="1:27" x14ac:dyDescent="0.25">
      <c r="A30" s="274" t="s">
        <v>312</v>
      </c>
      <c r="B30" s="275" t="s">
        <v>205</v>
      </c>
      <c r="C30" s="275" t="s">
        <v>205</v>
      </c>
      <c r="D30" s="282" t="s">
        <v>272</v>
      </c>
      <c r="E30" s="284"/>
      <c r="F30" s="284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>
        <f>4414661</f>
        <v>4414661</v>
      </c>
      <c r="V30" s="283">
        <f>4414661+5218110</f>
        <v>9632771</v>
      </c>
      <c r="W30" s="283"/>
      <c r="X30" s="283"/>
      <c r="Y30" s="287">
        <f t="shared" si="8"/>
        <v>4414661</v>
      </c>
      <c r="Z30" s="287">
        <f t="shared" si="9"/>
        <v>9632771</v>
      </c>
      <c r="AA30" s="288"/>
    </row>
    <row r="31" spans="1:27" x14ac:dyDescent="0.25">
      <c r="A31" s="274" t="s">
        <v>313</v>
      </c>
      <c r="B31" s="44"/>
      <c r="C31" s="44" t="s">
        <v>393</v>
      </c>
      <c r="D31" s="45" t="s">
        <v>503</v>
      </c>
      <c r="E31" s="284"/>
      <c r="F31" s="284"/>
      <c r="G31" s="283"/>
      <c r="H31" s="283"/>
      <c r="I31" s="283"/>
      <c r="J31" s="283"/>
      <c r="K31" s="283"/>
      <c r="L31" s="283"/>
      <c r="M31" s="283"/>
      <c r="N31" s="283"/>
      <c r="O31" s="283">
        <v>48996854</v>
      </c>
      <c r="P31" s="283">
        <v>51352966</v>
      </c>
      <c r="Q31" s="283"/>
      <c r="R31" s="283"/>
      <c r="S31" s="283"/>
      <c r="T31" s="283"/>
      <c r="U31" s="283">
        <v>724228</v>
      </c>
      <c r="V31" s="283">
        <v>724228</v>
      </c>
      <c r="W31" s="283"/>
      <c r="X31" s="283"/>
      <c r="Y31" s="287">
        <f t="shared" ref="Y31:Y33" si="10">E31+G31+I31+M31+O31+Q31+W31+K31+S31+U31</f>
        <v>49721082</v>
      </c>
      <c r="Z31" s="287">
        <f t="shared" ref="Z31:Z34" si="11">F31+H31+J31+L31+N31+P31+R31+V31+X31</f>
        <v>52077194</v>
      </c>
      <c r="AA31" s="288"/>
    </row>
    <row r="32" spans="1:27" x14ac:dyDescent="0.25">
      <c r="A32" s="274" t="s">
        <v>314</v>
      </c>
      <c r="B32" s="44"/>
      <c r="C32" s="44" t="s">
        <v>393</v>
      </c>
      <c r="D32" s="45" t="s">
        <v>504</v>
      </c>
      <c r="E32" s="284"/>
      <c r="F32" s="284"/>
      <c r="G32" s="283"/>
      <c r="H32" s="283"/>
      <c r="I32" s="283"/>
      <c r="J32" s="283"/>
      <c r="K32" s="283"/>
      <c r="L32" s="283"/>
      <c r="M32" s="283"/>
      <c r="N32" s="283"/>
      <c r="O32" s="283">
        <v>79401623</v>
      </c>
      <c r="P32" s="283">
        <v>83208636</v>
      </c>
      <c r="Q32" s="283"/>
      <c r="R32" s="283"/>
      <c r="S32" s="283"/>
      <c r="T32" s="283"/>
      <c r="U32" s="283">
        <v>1283314</v>
      </c>
      <c r="V32" s="283">
        <v>1283314</v>
      </c>
      <c r="W32" s="283"/>
      <c r="X32" s="283"/>
      <c r="Y32" s="287">
        <f t="shared" si="10"/>
        <v>80684937</v>
      </c>
      <c r="Z32" s="287">
        <f t="shared" si="11"/>
        <v>84491950</v>
      </c>
      <c r="AA32" s="288"/>
    </row>
    <row r="33" spans="1:28" x14ac:dyDescent="0.25">
      <c r="A33" s="274" t="s">
        <v>315</v>
      </c>
      <c r="B33" s="44"/>
      <c r="C33" s="44" t="s">
        <v>207</v>
      </c>
      <c r="D33" s="45" t="s">
        <v>502</v>
      </c>
      <c r="E33" s="284"/>
      <c r="F33" s="284"/>
      <c r="G33" s="283"/>
      <c r="H33" s="283"/>
      <c r="I33" s="283"/>
      <c r="J33" s="283"/>
      <c r="K33" s="283"/>
      <c r="L33" s="283"/>
      <c r="M33" s="283"/>
      <c r="N33" s="283"/>
      <c r="O33" s="283">
        <v>134638976</v>
      </c>
      <c r="P33" s="283"/>
      <c r="Q33" s="283"/>
      <c r="R33" s="283"/>
      <c r="S33" s="283"/>
      <c r="T33" s="283"/>
      <c r="U33" s="283">
        <v>2070067</v>
      </c>
      <c r="V33" s="283">
        <v>2070067</v>
      </c>
      <c r="W33" s="283"/>
      <c r="X33" s="283"/>
      <c r="Y33" s="287">
        <f t="shared" si="10"/>
        <v>136709043</v>
      </c>
      <c r="Z33" s="287">
        <f t="shared" si="11"/>
        <v>2070067</v>
      </c>
      <c r="AA33" s="288"/>
    </row>
    <row r="34" spans="1:28" x14ac:dyDescent="0.25">
      <c r="A34" s="274" t="s">
        <v>316</v>
      </c>
      <c r="B34" s="44"/>
      <c r="C34" s="44" t="s">
        <v>207</v>
      </c>
      <c r="D34" s="45" t="s">
        <v>505</v>
      </c>
      <c r="E34" s="284"/>
      <c r="F34" s="284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>
        <v>208456</v>
      </c>
      <c r="V34" s="283">
        <v>208456</v>
      </c>
      <c r="W34" s="283"/>
      <c r="X34" s="283"/>
      <c r="Y34" s="287">
        <f>E34+G34+I34+M34+O34+Q34+W34+K34+S34+V34</f>
        <v>208456</v>
      </c>
      <c r="Z34" s="287">
        <f t="shared" si="11"/>
        <v>208456</v>
      </c>
      <c r="AA34" s="288"/>
    </row>
    <row r="35" spans="1:28" x14ac:dyDescent="0.25">
      <c r="A35" s="274" t="s">
        <v>317</v>
      </c>
      <c r="B35" s="44"/>
      <c r="C35" s="44" t="s">
        <v>207</v>
      </c>
      <c r="D35" s="204" t="s">
        <v>475</v>
      </c>
      <c r="E35" s="284"/>
      <c r="F35" s="284"/>
      <c r="G35" s="283"/>
      <c r="H35" s="283"/>
      <c r="I35" s="283"/>
      <c r="J35" s="283"/>
      <c r="K35" s="283"/>
      <c r="L35" s="283"/>
      <c r="M35" s="283"/>
      <c r="N35" s="283"/>
      <c r="O35" s="283">
        <v>343055070</v>
      </c>
      <c r="P35" s="283"/>
      <c r="Q35" s="283"/>
      <c r="R35" s="283"/>
      <c r="S35" s="283"/>
      <c r="T35" s="283"/>
      <c r="U35" s="283">
        <v>6181953</v>
      </c>
      <c r="V35" s="283">
        <v>6181953</v>
      </c>
      <c r="W35" s="283"/>
      <c r="X35" s="283"/>
      <c r="Y35" s="287">
        <f t="shared" ref="Y35:Y36" si="12">E35+G35+I35+M35+O35+Q35+W35+K35+S35+U35</f>
        <v>349237023</v>
      </c>
      <c r="Z35" s="287">
        <f t="shared" ref="Z35:Z36" si="13">F35+H35+J35+L35+N35+P35+R35+V35+X35</f>
        <v>6181953</v>
      </c>
      <c r="AA35" s="288"/>
    </row>
    <row r="36" spans="1:28" x14ac:dyDescent="0.25">
      <c r="A36" s="274" t="s">
        <v>318</v>
      </c>
      <c r="B36" s="44"/>
      <c r="C36" s="44" t="s">
        <v>207</v>
      </c>
      <c r="D36" s="204" t="s">
        <v>476</v>
      </c>
      <c r="E36" s="284"/>
      <c r="F36" s="284"/>
      <c r="G36" s="283"/>
      <c r="H36" s="283"/>
      <c r="I36" s="283"/>
      <c r="J36" s="283"/>
      <c r="K36" s="283"/>
      <c r="L36" s="283"/>
      <c r="M36" s="283"/>
      <c r="N36" s="283"/>
      <c r="O36" s="283">
        <v>90209838</v>
      </c>
      <c r="P36" s="283">
        <v>90209837</v>
      </c>
      <c r="Q36" s="283"/>
      <c r="R36" s="283"/>
      <c r="S36" s="283"/>
      <c r="T36" s="283"/>
      <c r="U36" s="283">
        <v>10155728</v>
      </c>
      <c r="V36" s="283">
        <v>10155728</v>
      </c>
      <c r="W36" s="283"/>
      <c r="X36" s="283"/>
      <c r="Y36" s="287">
        <f t="shared" si="12"/>
        <v>100365566</v>
      </c>
      <c r="Z36" s="287">
        <f t="shared" si="13"/>
        <v>100365565</v>
      </c>
      <c r="AA36" s="288"/>
    </row>
    <row r="37" spans="1:28" x14ac:dyDescent="0.25">
      <c r="A37" s="274" t="s">
        <v>319</v>
      </c>
      <c r="B37" s="275"/>
      <c r="C37" s="275" t="s">
        <v>205</v>
      </c>
      <c r="D37" s="204" t="s">
        <v>512</v>
      </c>
      <c r="E37" s="284"/>
      <c r="F37" s="284"/>
      <c r="G37" s="283"/>
      <c r="H37" s="283"/>
      <c r="I37" s="283"/>
      <c r="J37" s="283"/>
      <c r="K37" s="283"/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>
        <v>50000000</v>
      </c>
      <c r="X37" s="283">
        <v>287692011</v>
      </c>
      <c r="Y37" s="287">
        <f t="shared" ref="Y37:Z37" si="14">E37+G37+I37+M37+O37+Q37+W37+K37+S37+U37</f>
        <v>50000000</v>
      </c>
      <c r="Z37" s="287">
        <f t="shared" si="14"/>
        <v>287692011</v>
      </c>
      <c r="AA37" s="288"/>
    </row>
    <row r="38" spans="1:28" x14ac:dyDescent="0.25">
      <c r="A38" s="274" t="s">
        <v>320</v>
      </c>
      <c r="B38" s="275" t="s">
        <v>205</v>
      </c>
      <c r="C38" s="275" t="s">
        <v>205</v>
      </c>
      <c r="D38" s="282" t="s">
        <v>211</v>
      </c>
      <c r="E38" s="284">
        <v>1100000</v>
      </c>
      <c r="F38" s="284">
        <v>1160815</v>
      </c>
      <c r="G38" s="283"/>
      <c r="H38" s="283"/>
      <c r="I38" s="283"/>
      <c r="J38" s="283"/>
      <c r="K38" s="283"/>
      <c r="L38" s="283"/>
      <c r="M38" s="283"/>
      <c r="N38" s="283"/>
      <c r="O38" s="283"/>
      <c r="P38" s="283"/>
      <c r="Q38" s="283"/>
      <c r="R38" s="283"/>
      <c r="S38" s="283"/>
      <c r="T38" s="283"/>
      <c r="U38" s="283"/>
      <c r="V38" s="283"/>
      <c r="W38" s="283"/>
      <c r="X38" s="283"/>
      <c r="Y38" s="287">
        <f t="shared" ref="Y38:Y43" si="15">E38+G38+I38+M38+O38+Q38+W38+K38+S38+U38</f>
        <v>1100000</v>
      </c>
      <c r="Z38" s="287">
        <f t="shared" ref="Z38:Z43" si="16">F38+H38+J38+L38+N38+P38+R38+V38+X38</f>
        <v>1160815</v>
      </c>
      <c r="AA38" s="288"/>
    </row>
    <row r="39" spans="1:28" x14ac:dyDescent="0.25">
      <c r="A39" s="274" t="s">
        <v>521</v>
      </c>
      <c r="B39" s="275"/>
      <c r="C39" s="275" t="s">
        <v>205</v>
      </c>
      <c r="D39" s="282" t="s">
        <v>601</v>
      </c>
      <c r="E39" s="284"/>
      <c r="F39" s="284">
        <v>87781</v>
      </c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7">
        <f t="shared" si="15"/>
        <v>0</v>
      </c>
      <c r="Z39" s="287">
        <f t="shared" si="16"/>
        <v>87781</v>
      </c>
      <c r="AA39" s="288"/>
    </row>
    <row r="40" spans="1:28" x14ac:dyDescent="0.25">
      <c r="A40" s="274" t="s">
        <v>321</v>
      </c>
      <c r="B40" s="275"/>
      <c r="C40" s="275" t="s">
        <v>205</v>
      </c>
      <c r="D40" s="282" t="s">
        <v>564</v>
      </c>
      <c r="E40" s="284"/>
      <c r="F40" s="284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>
        <v>23097133</v>
      </c>
      <c r="Y40" s="287">
        <f t="shared" si="15"/>
        <v>0</v>
      </c>
      <c r="Z40" s="287">
        <f t="shared" si="16"/>
        <v>23097133</v>
      </c>
      <c r="AA40" s="288"/>
    </row>
    <row r="41" spans="1:28" x14ac:dyDescent="0.25">
      <c r="A41" s="274" t="s">
        <v>485</v>
      </c>
      <c r="B41" s="275"/>
      <c r="C41" s="44" t="s">
        <v>207</v>
      </c>
      <c r="D41" s="282" t="s">
        <v>598</v>
      </c>
      <c r="E41" s="284"/>
      <c r="F41" s="284"/>
      <c r="G41" s="283"/>
      <c r="H41" s="283"/>
      <c r="I41" s="283"/>
      <c r="J41" s="283"/>
      <c r="K41" s="283"/>
      <c r="L41" s="283"/>
      <c r="M41" s="283"/>
      <c r="N41" s="283">
        <v>1400000</v>
      </c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7">
        <f t="shared" si="15"/>
        <v>0</v>
      </c>
      <c r="Z41" s="287">
        <f t="shared" si="16"/>
        <v>1400000</v>
      </c>
      <c r="AA41" s="288"/>
    </row>
    <row r="42" spans="1:28" x14ac:dyDescent="0.25">
      <c r="A42" s="274" t="s">
        <v>522</v>
      </c>
      <c r="B42" s="275"/>
      <c r="C42" s="44" t="s">
        <v>207</v>
      </c>
      <c r="D42" s="282" t="s">
        <v>599</v>
      </c>
      <c r="E42" s="284"/>
      <c r="F42" s="284"/>
      <c r="G42" s="283"/>
      <c r="H42" s="283"/>
      <c r="I42" s="283"/>
      <c r="J42" s="283"/>
      <c r="K42" s="283"/>
      <c r="L42" s="283"/>
      <c r="M42" s="283"/>
      <c r="N42" s="283">
        <v>18000000</v>
      </c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7">
        <f t="shared" si="15"/>
        <v>0</v>
      </c>
      <c r="Z42" s="287">
        <f t="shared" si="16"/>
        <v>18000000</v>
      </c>
      <c r="AA42" s="288"/>
    </row>
    <row r="43" spans="1:28" x14ac:dyDescent="0.25">
      <c r="A43" s="274" t="s">
        <v>322</v>
      </c>
      <c r="B43" s="275"/>
      <c r="C43" s="44" t="s">
        <v>207</v>
      </c>
      <c r="D43" s="282" t="s">
        <v>600</v>
      </c>
      <c r="E43" s="284"/>
      <c r="F43" s="284"/>
      <c r="G43" s="283"/>
      <c r="H43" s="283"/>
      <c r="I43" s="283"/>
      <c r="J43" s="283"/>
      <c r="K43" s="283"/>
      <c r="L43" s="283"/>
      <c r="M43" s="283"/>
      <c r="N43" s="283"/>
      <c r="O43" s="283"/>
      <c r="P43" s="283">
        <v>6263323</v>
      </c>
      <c r="Q43" s="283"/>
      <c r="R43" s="283"/>
      <c r="S43" s="283"/>
      <c r="T43" s="283"/>
      <c r="U43" s="283"/>
      <c r="V43" s="283"/>
      <c r="W43" s="283"/>
      <c r="X43" s="283"/>
      <c r="Y43" s="287">
        <f t="shared" si="15"/>
        <v>0</v>
      </c>
      <c r="Z43" s="287">
        <f t="shared" si="16"/>
        <v>6263323</v>
      </c>
      <c r="AA43" s="288"/>
    </row>
    <row r="44" spans="1:28" ht="15.75" x14ac:dyDescent="0.25">
      <c r="A44" s="274" t="s">
        <v>486</v>
      </c>
      <c r="B44" s="275"/>
      <c r="C44" s="275"/>
      <c r="D44" s="278" t="s">
        <v>212</v>
      </c>
      <c r="E44" s="287">
        <f t="shared" ref="E44" si="17">SUM(E6:E43)</f>
        <v>62728000</v>
      </c>
      <c r="F44" s="287">
        <f t="shared" ref="F44" si="18">SUM(F6:F43)</f>
        <v>73748640</v>
      </c>
      <c r="G44" s="287">
        <f t="shared" ref="G44" si="19">SUM(G6:G43)</f>
        <v>198157000</v>
      </c>
      <c r="H44" s="287">
        <f t="shared" ref="H44" si="20">SUM(H6:H43)</f>
        <v>178576886</v>
      </c>
      <c r="I44" s="287">
        <f t="shared" ref="I44" si="21">SUM(I6:I43)</f>
        <v>934726324</v>
      </c>
      <c r="J44" s="287">
        <f t="shared" ref="J44" si="22">SUM(J6:J43)</f>
        <v>807430467</v>
      </c>
      <c r="K44" s="287">
        <f t="shared" ref="K44" si="23">SUM(K6:K43)</f>
        <v>0</v>
      </c>
      <c r="L44" s="287">
        <f t="shared" ref="L44" si="24">SUM(L6:L43)</f>
        <v>0</v>
      </c>
      <c r="M44" s="287">
        <f t="shared" ref="M44" si="25">SUM(M6:M43)</f>
        <v>102194590</v>
      </c>
      <c r="N44" s="287">
        <f t="shared" ref="N44" si="26">SUM(N6:N43)</f>
        <v>130336926</v>
      </c>
      <c r="O44" s="287">
        <f t="shared" ref="O44" si="27">SUM(O6:O43)</f>
        <v>696302361</v>
      </c>
      <c r="P44" s="287">
        <f t="shared" ref="P44" si="28">SUM(P6:P43)</f>
        <v>231918360</v>
      </c>
      <c r="Q44" s="287">
        <f t="shared" ref="Q44" si="29">SUM(Q6:Q43)</f>
        <v>0</v>
      </c>
      <c r="R44" s="287">
        <f t="shared" ref="R44" si="30">SUM(R6:R43)</f>
        <v>0</v>
      </c>
      <c r="S44" s="287">
        <f t="shared" ref="S44" si="31">SUM(S6:S43)</f>
        <v>0</v>
      </c>
      <c r="T44" s="287">
        <f t="shared" ref="T44" si="32">SUM(T6:T43)</f>
        <v>1614961</v>
      </c>
      <c r="U44" s="287">
        <f t="shared" ref="U44" si="33">SUM(U6:U43)</f>
        <v>32875125</v>
      </c>
      <c r="V44" s="287">
        <f t="shared" ref="V44" si="34">SUM(V6:V43)</f>
        <v>38093235</v>
      </c>
      <c r="W44" s="287">
        <f t="shared" ref="W44" si="35">SUM(W6:W43)</f>
        <v>50000000</v>
      </c>
      <c r="X44" s="287">
        <f t="shared" ref="X44" si="36">SUM(X6:X43)</f>
        <v>310789144</v>
      </c>
      <c r="Y44" s="287">
        <f t="shared" ref="Y44" si="37">SUM(Y6:Y43)</f>
        <v>2076983400</v>
      </c>
      <c r="Z44" s="287">
        <f t="shared" ref="Z44" si="38">SUM(Z6:Z43)</f>
        <v>1772508619</v>
      </c>
      <c r="AA44" s="288">
        <f>+Y44</f>
        <v>2076983400</v>
      </c>
    </row>
    <row r="45" spans="1:28" x14ac:dyDescent="0.25">
      <c r="A45" s="274" t="s">
        <v>523</v>
      </c>
      <c r="B45" s="275"/>
      <c r="C45" s="275"/>
      <c r="D45" s="289" t="s">
        <v>213</v>
      </c>
      <c r="E45" s="290">
        <f>E6+E7+E8+E9+E10+E13+E14+E15+E17+E18+E19+E20+E22+E23+E24+E26+E27+E28+E30+E38+E31+E32+E12+E39</f>
        <v>50348000</v>
      </c>
      <c r="F45" s="290">
        <f>F6+F7+F8+F9+F10+F13+F14+F15+F17+F18+F19+F20+F22+F23+F24+F26+F27+F28+F30+F38+F31+F32+F12+F39</f>
        <v>64525738</v>
      </c>
      <c r="G45" s="290">
        <f>G6+G7+G8+G9+G10+G11+G13+G14+G15+G17+G18+G19+G20+G22+G23+G24+G26+G27+G28+G30+G38+G31+G32+G12+G39</f>
        <v>198157000</v>
      </c>
      <c r="H45" s="290">
        <f>H6+H7+H8+H9+H10+H11+H13+H14+H15+H17+H18+H19+H20+H22+H23+H24+H26+H27+H28+H30+H38+H31+H32+H12+H39</f>
        <v>178576886</v>
      </c>
      <c r="I45" s="290">
        <f>I6+I7+I8+I9+I10+I13+I14+I15+I17+I18+I19+I20+I22+I23+I24+I26+I27+I28+I30+I38+I31+I32+I12+I39+I21</f>
        <v>829202016</v>
      </c>
      <c r="J45" s="290">
        <f>J6+J7+J8+J9+J10+J13+J14+J15+J17+J18+J19+J20+J22+J23+J24+J26+J27+J28+J30+J38+J31+J32+J12+J39+J21</f>
        <v>710626949</v>
      </c>
      <c r="K45" s="290">
        <f t="shared" ref="K45:V45" si="39">K6+K7+K8+K9+K10+K13+K14+K15+K17+K18+K19+K20+K22+K23+K24+K26+K27+K28+K30+K38+K31+K32+K12+K39</f>
        <v>0</v>
      </c>
      <c r="L45" s="290">
        <f t="shared" si="39"/>
        <v>0</v>
      </c>
      <c r="M45" s="290">
        <f t="shared" si="39"/>
        <v>101127790</v>
      </c>
      <c r="N45" s="290">
        <f t="shared" si="39"/>
        <v>109994126</v>
      </c>
      <c r="O45" s="290">
        <f t="shared" si="39"/>
        <v>128398477</v>
      </c>
      <c r="P45" s="290">
        <f t="shared" si="39"/>
        <v>135445200</v>
      </c>
      <c r="Q45" s="290">
        <f t="shared" si="39"/>
        <v>0</v>
      </c>
      <c r="R45" s="290">
        <f t="shared" si="39"/>
        <v>0</v>
      </c>
      <c r="S45" s="290">
        <f t="shared" si="39"/>
        <v>0</v>
      </c>
      <c r="T45" s="290">
        <f t="shared" si="39"/>
        <v>1614961</v>
      </c>
      <c r="U45" s="290">
        <f t="shared" si="39"/>
        <v>14258921</v>
      </c>
      <c r="V45" s="290">
        <f t="shared" si="39"/>
        <v>19477031</v>
      </c>
      <c r="W45" s="290">
        <f>W6+W7+W8+W9+W10+W13+W14+W15+W17+W18+W19+W20+W22+W23+W24+W26+W27+W28+W30+W38+W31+W32+W12+W39+W37</f>
        <v>50000000</v>
      </c>
      <c r="X45" s="290">
        <f>X6+X7+X8+X9+X10+X13+X14+X15+X17+X18+X19+X20+X22+X23+X24+X26+X27+X28+X30+X38+X31+X32+X12+X39+X37+X40</f>
        <v>310789144</v>
      </c>
      <c r="Y45" s="290">
        <f>Y6+Y7+Y8+Y9+Y10+Y13+Y14+Y15+Y17+Y18+Y19+Y20+Y22+Y23+Y24+Y26+Y27+Y28++Y11+Y21+Y37+Y30+Y38+Y31+Y32+Y12+Y39</f>
        <v>1371492204</v>
      </c>
      <c r="Z45" s="290">
        <f>Z6+Z7+Z8+Z9+Z10+Z13+Z14+Z15+Z17+Z18+Z19+Z20+Z22+Z23+Z24+Z26+Z27+Z28+Z30+Z38+Z31+Z32+Z12+Z39+Z11+Z21+Z37+Z40</f>
        <v>1531050035</v>
      </c>
      <c r="AA45" s="288">
        <f>+'12.Önk kiad'!AF50</f>
        <v>1364592004.2</v>
      </c>
    </row>
    <row r="46" spans="1:28" s="281" customFormat="1" x14ac:dyDescent="0.25">
      <c r="A46" s="274" t="s">
        <v>459</v>
      </c>
      <c r="B46" s="275"/>
      <c r="C46" s="275"/>
      <c r="D46" s="289" t="s">
        <v>262</v>
      </c>
      <c r="E46" s="290"/>
      <c r="F46" s="290"/>
      <c r="G46" s="290"/>
      <c r="H46" s="290"/>
      <c r="I46" s="290"/>
      <c r="J46" s="290"/>
      <c r="K46" s="290"/>
      <c r="L46" s="290"/>
      <c r="M46" s="290"/>
      <c r="N46" s="290"/>
      <c r="O46" s="290"/>
      <c r="P46" s="290"/>
      <c r="Q46" s="290"/>
      <c r="R46" s="290"/>
      <c r="S46" s="290"/>
      <c r="T46" s="290"/>
      <c r="U46" s="290"/>
      <c r="V46" s="290"/>
      <c r="W46" s="291"/>
      <c r="X46" s="291"/>
      <c r="Y46" s="290">
        <f>SUM(E46:X46)</f>
        <v>0</v>
      </c>
      <c r="Z46" s="292">
        <f>F46+H46+J46+N46+P46+R46+X46+L46+V46</f>
        <v>0</v>
      </c>
      <c r="AA46" s="293">
        <f>+'8. PMH bev.'!P9</f>
        <v>219156590</v>
      </c>
      <c r="AB46" s="293"/>
    </row>
    <row r="47" spans="1:28" x14ac:dyDescent="0.25">
      <c r="A47" s="274" t="s">
        <v>487</v>
      </c>
      <c r="B47" s="275"/>
      <c r="C47" s="289"/>
      <c r="D47" s="289" t="s">
        <v>214</v>
      </c>
      <c r="E47" s="290">
        <f t="shared" ref="E47:M47" si="40">E16+E25+E35+E36+E29+E33+E34</f>
        <v>12380000</v>
      </c>
      <c r="F47" s="290">
        <f t="shared" si="40"/>
        <v>9222902</v>
      </c>
      <c r="G47" s="290">
        <f t="shared" si="40"/>
        <v>0</v>
      </c>
      <c r="H47" s="290">
        <f t="shared" si="40"/>
        <v>0</v>
      </c>
      <c r="I47" s="290">
        <f t="shared" si="40"/>
        <v>105524308</v>
      </c>
      <c r="J47" s="290">
        <f t="shared" si="40"/>
        <v>96803518</v>
      </c>
      <c r="K47" s="290">
        <f t="shared" si="40"/>
        <v>0</v>
      </c>
      <c r="L47" s="290">
        <f t="shared" si="40"/>
        <v>0</v>
      </c>
      <c r="M47" s="290">
        <f t="shared" si="40"/>
        <v>1066800</v>
      </c>
      <c r="N47" s="290">
        <f>N16+N25+N35+N36+N29+N33+N34+N41+N42</f>
        <v>20342800</v>
      </c>
      <c r="O47" s="290">
        <f>O16+O25+O35+O36+O29+O33+O34</f>
        <v>567903884</v>
      </c>
      <c r="P47" s="290">
        <f>P16+P25+P35+P36+P29+P33+P34+P43</f>
        <v>96473160</v>
      </c>
      <c r="Q47" s="290">
        <f t="shared" ref="Q47:Y47" si="41">Q16+Q25+Q35+Q36+Q29+Q33+Q34</f>
        <v>0</v>
      </c>
      <c r="R47" s="290">
        <f t="shared" si="41"/>
        <v>0</v>
      </c>
      <c r="S47" s="290">
        <f t="shared" si="41"/>
        <v>0</v>
      </c>
      <c r="T47" s="290">
        <f t="shared" si="41"/>
        <v>0</v>
      </c>
      <c r="U47" s="290">
        <f t="shared" si="41"/>
        <v>18616204</v>
      </c>
      <c r="V47" s="290">
        <f t="shared" si="41"/>
        <v>18616204</v>
      </c>
      <c r="W47" s="290">
        <f t="shared" si="41"/>
        <v>0</v>
      </c>
      <c r="X47" s="290">
        <f t="shared" si="41"/>
        <v>0</v>
      </c>
      <c r="Y47" s="290">
        <f t="shared" si="41"/>
        <v>705491196</v>
      </c>
      <c r="Z47" s="290">
        <f>Z16+Z25+Z35+Z36+Z29+Z33+Z34+Z41+Z42+Z43</f>
        <v>241458584</v>
      </c>
      <c r="AA47" s="293">
        <f>+'9. GKP bev'!P18</f>
        <v>248790567</v>
      </c>
      <c r="AB47" s="293"/>
    </row>
    <row r="48" spans="1:28" x14ac:dyDescent="0.25">
      <c r="A48" s="274" t="s">
        <v>488</v>
      </c>
      <c r="B48" s="275"/>
      <c r="C48" s="279"/>
      <c r="D48" s="294" t="s">
        <v>268</v>
      </c>
      <c r="E48" s="295">
        <f>SUM(E49:E51)</f>
        <v>714000</v>
      </c>
      <c r="F48" s="295">
        <f>SUM(F49:F51)</f>
        <v>459003</v>
      </c>
      <c r="G48" s="295">
        <f>SUM(G49:G51)</f>
        <v>0</v>
      </c>
      <c r="H48" s="295">
        <f t="shared" ref="H48:V48" si="42">SUM(H49:H51)</f>
        <v>0</v>
      </c>
      <c r="I48" s="295">
        <f t="shared" si="42"/>
        <v>0</v>
      </c>
      <c r="J48" s="295">
        <f t="shared" si="42"/>
        <v>0</v>
      </c>
      <c r="K48" s="295">
        <f t="shared" si="42"/>
        <v>0</v>
      </c>
      <c r="L48" s="295">
        <f t="shared" si="42"/>
        <v>0</v>
      </c>
      <c r="M48" s="295">
        <f t="shared" si="42"/>
        <v>0</v>
      </c>
      <c r="N48" s="295">
        <f t="shared" si="42"/>
        <v>0</v>
      </c>
      <c r="O48" s="295">
        <f t="shared" si="42"/>
        <v>0</v>
      </c>
      <c r="P48" s="295">
        <f t="shared" si="42"/>
        <v>0</v>
      </c>
      <c r="Q48" s="295">
        <f t="shared" si="42"/>
        <v>0</v>
      </c>
      <c r="R48" s="295">
        <f t="shared" si="42"/>
        <v>0</v>
      </c>
      <c r="S48" s="295">
        <f t="shared" si="42"/>
        <v>0</v>
      </c>
      <c r="T48" s="295">
        <f t="shared" si="42"/>
        <v>0</v>
      </c>
      <c r="U48" s="295">
        <f t="shared" si="42"/>
        <v>0</v>
      </c>
      <c r="V48" s="295">
        <f t="shared" si="42"/>
        <v>2738265</v>
      </c>
      <c r="W48" s="295"/>
      <c r="X48" s="295"/>
      <c r="Y48" s="295">
        <f>SUM(Y49:Y51)</f>
        <v>714000</v>
      </c>
      <c r="Z48" s="295">
        <f>SUM(Z49:Z51)</f>
        <v>3197268</v>
      </c>
      <c r="AA48" s="293">
        <f>+'10. VE bev'!P8</f>
        <v>201666827</v>
      </c>
      <c r="AB48" s="293"/>
    </row>
    <row r="49" spans="1:28" x14ac:dyDescent="0.25">
      <c r="A49" s="274" t="s">
        <v>323</v>
      </c>
      <c r="B49" s="275"/>
      <c r="C49" s="275" t="s">
        <v>205</v>
      </c>
      <c r="D49" s="296" t="s">
        <v>215</v>
      </c>
      <c r="E49" s="297">
        <f>'8. PMH bev.'!D10</f>
        <v>714000</v>
      </c>
      <c r="F49" s="297">
        <f>'8. PMH bev.'!E10</f>
        <v>459003</v>
      </c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7"/>
      <c r="S49" s="297"/>
      <c r="T49" s="297"/>
      <c r="U49" s="297">
        <f>'8. PMH bev.'!R7</f>
        <v>0</v>
      </c>
      <c r="V49" s="297">
        <f>'8. PMH bev.'!S10</f>
        <v>2738265</v>
      </c>
      <c r="W49" s="297"/>
      <c r="X49" s="297"/>
      <c r="Y49" s="292">
        <f t="shared" ref="Y49:Z51" si="43">E49+G49+I49+M49+O49+Q49+W49+U49</f>
        <v>714000</v>
      </c>
      <c r="Z49" s="292">
        <f t="shared" si="43"/>
        <v>3197268</v>
      </c>
      <c r="AA49" s="293">
        <f>+'11. MH bev.'!R10</f>
        <v>42777412</v>
      </c>
      <c r="AB49" s="293"/>
    </row>
    <row r="50" spans="1:28" s="281" customFormat="1" x14ac:dyDescent="0.25">
      <c r="A50" s="274" t="s">
        <v>324</v>
      </c>
      <c r="B50" s="275"/>
      <c r="C50" s="275" t="s">
        <v>207</v>
      </c>
      <c r="D50" s="296" t="s">
        <v>216</v>
      </c>
      <c r="E50" s="297"/>
      <c r="F50" s="297"/>
      <c r="G50" s="297"/>
      <c r="H50" s="297"/>
      <c r="I50" s="297"/>
      <c r="J50" s="297"/>
      <c r="K50" s="297"/>
      <c r="L50" s="297"/>
      <c r="M50" s="297"/>
      <c r="N50" s="297"/>
      <c r="O50" s="297"/>
      <c r="P50" s="297"/>
      <c r="Q50" s="297"/>
      <c r="R50" s="297"/>
      <c r="S50" s="297"/>
      <c r="T50" s="297"/>
      <c r="U50" s="297"/>
      <c r="V50" s="297"/>
      <c r="W50" s="297"/>
      <c r="X50" s="297"/>
      <c r="Y50" s="292">
        <f t="shared" si="43"/>
        <v>0</v>
      </c>
      <c r="Z50" s="292">
        <f t="shared" si="43"/>
        <v>0</v>
      </c>
      <c r="AA50" s="293">
        <f>+AA44-AA45-AA46-AA47-AA48-AA49</f>
        <v>-0.20000004768371582</v>
      </c>
      <c r="AB50" s="293" t="s">
        <v>563</v>
      </c>
    </row>
    <row r="51" spans="1:28" x14ac:dyDescent="0.25">
      <c r="A51" s="274" t="s">
        <v>325</v>
      </c>
      <c r="B51" s="275"/>
      <c r="C51" s="275" t="s">
        <v>267</v>
      </c>
      <c r="D51" s="296" t="s">
        <v>262</v>
      </c>
      <c r="E51" s="297"/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S51" s="297"/>
      <c r="T51" s="297"/>
      <c r="U51" s="297"/>
      <c r="V51" s="297"/>
      <c r="W51" s="297"/>
      <c r="X51" s="298"/>
      <c r="Y51" s="292">
        <f t="shared" si="43"/>
        <v>0</v>
      </c>
      <c r="Z51" s="292">
        <f t="shared" si="43"/>
        <v>0</v>
      </c>
      <c r="AA51" s="293"/>
      <c r="AB51" s="293"/>
    </row>
    <row r="52" spans="1:28" x14ac:dyDescent="0.25">
      <c r="A52" s="274" t="s">
        <v>326</v>
      </c>
      <c r="B52" s="275"/>
      <c r="C52" s="279"/>
      <c r="D52" s="294" t="s">
        <v>217</v>
      </c>
      <c r="E52" s="295">
        <f>SUM(E53:E54)</f>
        <v>10000</v>
      </c>
      <c r="F52" s="295">
        <f>SUM(F53:F54)</f>
        <v>6855</v>
      </c>
      <c r="G52" s="295">
        <f t="shared" ref="G52" si="44">SUM(G53:G54)</f>
        <v>0</v>
      </c>
      <c r="H52" s="295">
        <f t="shared" ref="H52:V52" si="45">SUM(H53:H54)</f>
        <v>0</v>
      </c>
      <c r="I52" s="295">
        <f t="shared" si="45"/>
        <v>0</v>
      </c>
      <c r="J52" s="295">
        <f t="shared" si="45"/>
        <v>0</v>
      </c>
      <c r="K52" s="295">
        <f t="shared" si="45"/>
        <v>0</v>
      </c>
      <c r="L52" s="295">
        <f t="shared" si="45"/>
        <v>0</v>
      </c>
      <c r="M52" s="295">
        <f t="shared" si="45"/>
        <v>0</v>
      </c>
      <c r="N52" s="295">
        <f t="shared" si="45"/>
        <v>0</v>
      </c>
      <c r="O52" s="295">
        <f t="shared" si="45"/>
        <v>0</v>
      </c>
      <c r="P52" s="295">
        <f t="shared" si="45"/>
        <v>0</v>
      </c>
      <c r="Q52" s="295">
        <f t="shared" si="45"/>
        <v>0</v>
      </c>
      <c r="R52" s="295">
        <f t="shared" si="45"/>
        <v>0</v>
      </c>
      <c r="S52" s="295">
        <f t="shared" si="45"/>
        <v>0</v>
      </c>
      <c r="T52" s="295">
        <f t="shared" si="45"/>
        <v>0</v>
      </c>
      <c r="U52" s="295">
        <f t="shared" si="45"/>
        <v>0</v>
      </c>
      <c r="V52" s="295">
        <f t="shared" si="45"/>
        <v>219375</v>
      </c>
      <c r="W52" s="295"/>
      <c r="X52" s="295"/>
      <c r="Y52" s="295">
        <f>SUM(Y53:Y54)</f>
        <v>10000</v>
      </c>
      <c r="Z52" s="295">
        <f>SUM(Z53:Z54)</f>
        <v>226230</v>
      </c>
      <c r="AA52" s="293">
        <f>Z44</f>
        <v>1772508619</v>
      </c>
      <c r="AB52" s="293"/>
    </row>
    <row r="53" spans="1:28" s="281" customFormat="1" x14ac:dyDescent="0.25">
      <c r="A53" s="274" t="s">
        <v>327</v>
      </c>
      <c r="B53" s="275"/>
      <c r="C53" s="275" t="s">
        <v>205</v>
      </c>
      <c r="D53" s="296" t="s">
        <v>215</v>
      </c>
      <c r="E53" s="297">
        <f>+'10. VE bev'!D9</f>
        <v>10000</v>
      </c>
      <c r="F53" s="297">
        <f>+'10. VE bev'!E9</f>
        <v>6855</v>
      </c>
      <c r="G53" s="297"/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297"/>
      <c r="T53" s="297"/>
      <c r="U53" s="297"/>
      <c r="V53" s="297">
        <f>'10. VE bev'!O9</f>
        <v>219375</v>
      </c>
      <c r="W53" s="297"/>
      <c r="X53" s="297"/>
      <c r="Y53" s="297">
        <f>E53+G53+I53+K53+M53+O53+Q53+W53+U53</f>
        <v>10000</v>
      </c>
      <c r="Z53" s="297">
        <f>F53+H53+J53+L53+N53+P53+R53+X53+V53</f>
        <v>226230</v>
      </c>
      <c r="AA53" s="288">
        <f>'12.Önk kiad'!AG50</f>
        <v>1052044538</v>
      </c>
      <c r="AB53" s="293"/>
    </row>
    <row r="54" spans="1:28" x14ac:dyDescent="0.25">
      <c r="A54" s="274" t="s">
        <v>328</v>
      </c>
      <c r="B54" s="275"/>
      <c r="C54" s="275" t="s">
        <v>207</v>
      </c>
      <c r="D54" s="296" t="s">
        <v>216</v>
      </c>
      <c r="E54" s="297"/>
      <c r="F54" s="297"/>
      <c r="G54" s="297"/>
      <c r="H54" s="297"/>
      <c r="I54" s="297"/>
      <c r="J54" s="297"/>
      <c r="K54" s="297"/>
      <c r="L54" s="297"/>
      <c r="M54" s="297"/>
      <c r="N54" s="297"/>
      <c r="O54" s="297"/>
      <c r="P54" s="297"/>
      <c r="Q54" s="297"/>
      <c r="R54" s="297"/>
      <c r="S54" s="297"/>
      <c r="T54" s="297"/>
      <c r="U54" s="297"/>
      <c r="V54" s="297"/>
      <c r="W54" s="298"/>
      <c r="X54" s="298"/>
      <c r="Y54" s="297">
        <f>E54+G54+I54+K54+M54+O54+Q54+W54+U54</f>
        <v>0</v>
      </c>
      <c r="Z54" s="297">
        <f>F54+H54+J54+L54+N54+P54+R54+X54+V54</f>
        <v>0</v>
      </c>
      <c r="AA54" s="293">
        <f>'8. PMH bev.'!Q9</f>
        <v>208567459</v>
      </c>
      <c r="AB54" s="293"/>
    </row>
    <row r="55" spans="1:28" x14ac:dyDescent="0.25">
      <c r="A55" s="274" t="s">
        <v>329</v>
      </c>
      <c r="B55" s="275"/>
      <c r="C55" s="279"/>
      <c r="D55" s="294" t="s">
        <v>218</v>
      </c>
      <c r="E55" s="295">
        <f>E56+E57</f>
        <v>39150811</v>
      </c>
      <c r="F55" s="295">
        <f>F56+F57</f>
        <v>43422764</v>
      </c>
      <c r="G55" s="295">
        <f t="shared" ref="G55" si="46">G56+G57</f>
        <v>0</v>
      </c>
      <c r="H55" s="295">
        <f t="shared" ref="H55:V55" si="47">H56+H57</f>
        <v>0</v>
      </c>
      <c r="I55" s="295">
        <f t="shared" si="47"/>
        <v>0</v>
      </c>
      <c r="J55" s="295">
        <f t="shared" si="47"/>
        <v>0</v>
      </c>
      <c r="K55" s="295">
        <f t="shared" si="47"/>
        <v>0</v>
      </c>
      <c r="L55" s="295">
        <f t="shared" si="47"/>
        <v>0</v>
      </c>
      <c r="M55" s="295">
        <f t="shared" si="47"/>
        <v>0</v>
      </c>
      <c r="N55" s="295">
        <f t="shared" si="47"/>
        <v>0</v>
      </c>
      <c r="O55" s="295">
        <f t="shared" si="47"/>
        <v>0</v>
      </c>
      <c r="P55" s="295">
        <f t="shared" si="47"/>
        <v>0</v>
      </c>
      <c r="Q55" s="295">
        <f t="shared" si="47"/>
        <v>0</v>
      </c>
      <c r="R55" s="295">
        <f t="shared" si="47"/>
        <v>0</v>
      </c>
      <c r="S55" s="295">
        <f t="shared" si="47"/>
        <v>0</v>
      </c>
      <c r="T55" s="295">
        <f t="shared" si="47"/>
        <v>0</v>
      </c>
      <c r="U55" s="295">
        <f t="shared" si="47"/>
        <v>0</v>
      </c>
      <c r="V55" s="295">
        <f t="shared" si="47"/>
        <v>449264</v>
      </c>
      <c r="W55" s="295"/>
      <c r="X55" s="295"/>
      <c r="Y55" s="295">
        <f t="shared" ref="Y55:Z55" si="48">SUM(Y56:Y57)</f>
        <v>39150811</v>
      </c>
      <c r="Z55" s="295">
        <f t="shared" si="48"/>
        <v>43872028</v>
      </c>
      <c r="AA55" s="293">
        <f>'9. GKP bev'!Q18</f>
        <v>236513536</v>
      </c>
      <c r="AB55" s="293"/>
    </row>
    <row r="56" spans="1:28" s="281" customFormat="1" x14ac:dyDescent="0.25">
      <c r="A56" s="274" t="s">
        <v>330</v>
      </c>
      <c r="B56" s="275"/>
      <c r="C56" s="275" t="s">
        <v>205</v>
      </c>
      <c r="D56" s="296" t="s">
        <v>215</v>
      </c>
      <c r="E56" s="297">
        <f>'9. GKP bev'!D19</f>
        <v>4996672</v>
      </c>
      <c r="F56" s="297">
        <f>'9. GKP bev'!E19</f>
        <v>5158300</v>
      </c>
      <c r="G56" s="297"/>
      <c r="H56" s="297"/>
      <c r="I56" s="297"/>
      <c r="J56" s="297"/>
      <c r="K56" s="297"/>
      <c r="L56" s="297"/>
      <c r="M56" s="297"/>
      <c r="N56" s="297"/>
      <c r="O56" s="297"/>
      <c r="P56" s="297"/>
      <c r="Q56" s="297"/>
      <c r="R56" s="297"/>
      <c r="S56" s="297"/>
      <c r="T56" s="297"/>
      <c r="U56" s="297">
        <f>'9. GKP bev'!R19</f>
        <v>0</v>
      </c>
      <c r="V56" s="297">
        <v>0</v>
      </c>
      <c r="W56" s="297"/>
      <c r="X56" s="297"/>
      <c r="Y56" s="292">
        <f>E56+G56+I56+M56+O56+Q56+W56+U56</f>
        <v>4996672</v>
      </c>
      <c r="Z56" s="292">
        <f>F56+H56+J56+N56+P56+R56+X56+V56</f>
        <v>5158300</v>
      </c>
      <c r="AA56" s="293">
        <f>'10. VE bev'!Q8</f>
        <v>231910009</v>
      </c>
      <c r="AB56" s="293"/>
    </row>
    <row r="57" spans="1:28" x14ac:dyDescent="0.25">
      <c r="A57" s="274" t="s">
        <v>331</v>
      </c>
      <c r="B57" s="275"/>
      <c r="C57" s="275" t="s">
        <v>207</v>
      </c>
      <c r="D57" s="296" t="s">
        <v>216</v>
      </c>
      <c r="E57" s="297">
        <f>'9. GKP bev'!D20</f>
        <v>34154139</v>
      </c>
      <c r="F57" s="297">
        <f>'9. GKP bev'!E20</f>
        <v>38264464</v>
      </c>
      <c r="G57" s="297"/>
      <c r="H57" s="297"/>
      <c r="I57" s="297"/>
      <c r="J57" s="297"/>
      <c r="K57" s="297"/>
      <c r="L57" s="297"/>
      <c r="M57" s="297"/>
      <c r="N57" s="297"/>
      <c r="O57" s="297"/>
      <c r="P57" s="297"/>
      <c r="Q57" s="297"/>
      <c r="R57" s="297"/>
      <c r="S57" s="297"/>
      <c r="T57" s="297"/>
      <c r="U57" s="297"/>
      <c r="V57" s="297">
        <f>'9. GKP bev'!S20</f>
        <v>449264</v>
      </c>
      <c r="W57" s="297"/>
      <c r="X57" s="297"/>
      <c r="Y57" s="292">
        <f>E57+G57+I57+M57+O57+Q57+W57+U57</f>
        <v>34154139</v>
      </c>
      <c r="Z57" s="292">
        <f>F57+H57+J57+N57+P57+R57+X57+V57</f>
        <v>38713728</v>
      </c>
      <c r="AA57" s="293">
        <f>'11. MH bev.'!S10</f>
        <v>43473077</v>
      </c>
      <c r="AB57" s="293"/>
    </row>
    <row r="58" spans="1:28" x14ac:dyDescent="0.25">
      <c r="A58" s="274" t="s">
        <v>332</v>
      </c>
      <c r="B58" s="275"/>
      <c r="C58" s="279"/>
      <c r="D58" s="294" t="s">
        <v>274</v>
      </c>
      <c r="E58" s="295">
        <f>SUM(E59:E60)</f>
        <v>4138000</v>
      </c>
      <c r="F58" s="295">
        <f t="shared" ref="F58:P58" si="49">SUM(F59:F60)</f>
        <v>1297505</v>
      </c>
      <c r="G58" s="295">
        <f t="shared" si="49"/>
        <v>0</v>
      </c>
      <c r="H58" s="295">
        <f t="shared" si="49"/>
        <v>0</v>
      </c>
      <c r="I58" s="295">
        <f t="shared" si="49"/>
        <v>0</v>
      </c>
      <c r="J58" s="295">
        <f t="shared" si="49"/>
        <v>0</v>
      </c>
      <c r="K58" s="295">
        <f t="shared" si="49"/>
        <v>0</v>
      </c>
      <c r="L58" s="295">
        <f t="shared" si="49"/>
        <v>0</v>
      </c>
      <c r="M58" s="295">
        <f t="shared" si="49"/>
        <v>0</v>
      </c>
      <c r="N58" s="295">
        <f t="shared" si="49"/>
        <v>0</v>
      </c>
      <c r="O58" s="295">
        <f t="shared" si="49"/>
        <v>0</v>
      </c>
      <c r="P58" s="295">
        <f t="shared" si="49"/>
        <v>0</v>
      </c>
      <c r="Q58" s="295">
        <f t="shared" ref="Q58:V58" si="50">SUM(Q59:Q60)</f>
        <v>0</v>
      </c>
      <c r="R58" s="295">
        <f t="shared" si="50"/>
        <v>0</v>
      </c>
      <c r="S58" s="295">
        <f t="shared" si="50"/>
        <v>0</v>
      </c>
      <c r="T58" s="295">
        <f t="shared" si="50"/>
        <v>0</v>
      </c>
      <c r="U58" s="295">
        <f t="shared" si="50"/>
        <v>0</v>
      </c>
      <c r="V58" s="295">
        <f t="shared" si="50"/>
        <v>215</v>
      </c>
      <c r="W58" s="295"/>
      <c r="X58" s="295"/>
      <c r="Y58" s="295">
        <f>SUM(Y59:Y60)</f>
        <v>4138000</v>
      </c>
      <c r="Z58" s="295">
        <f>SUM(Z59:Z60)</f>
        <v>1297720</v>
      </c>
      <c r="AA58" s="293">
        <f>AA52-AA53-AA54-AA55-AA56-AA57</f>
        <v>0</v>
      </c>
      <c r="AB58" s="293"/>
    </row>
    <row r="59" spans="1:28" x14ac:dyDescent="0.25">
      <c r="A59" s="274" t="s">
        <v>333</v>
      </c>
      <c r="B59" s="275"/>
      <c r="C59" s="275" t="s">
        <v>205</v>
      </c>
      <c r="D59" s="299" t="s">
        <v>215</v>
      </c>
      <c r="E59" s="297">
        <f>'11. MH bev.'!D11</f>
        <v>3329000</v>
      </c>
      <c r="F59" s="297">
        <f>'11. MH bev.'!E11</f>
        <v>355505</v>
      </c>
      <c r="G59" s="297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S59" s="297"/>
      <c r="T59" s="297"/>
      <c r="U59" s="297"/>
      <c r="V59" s="297"/>
      <c r="W59" s="297"/>
      <c r="X59" s="297"/>
      <c r="Y59" s="292">
        <f>E59+G59+I59+K59+M59+O59+Q59+W59+U59</f>
        <v>3329000</v>
      </c>
      <c r="Z59" s="292">
        <f>F59+H59+J59+L59+N59+P59+R59+X59+V59</f>
        <v>355505</v>
      </c>
      <c r="AA59" s="293"/>
      <c r="AB59" s="293"/>
    </row>
    <row r="60" spans="1:28" s="281" customFormat="1" x14ac:dyDescent="0.25">
      <c r="A60" s="274" t="s">
        <v>334</v>
      </c>
      <c r="B60" s="275"/>
      <c r="C60" s="275" t="s">
        <v>207</v>
      </c>
      <c r="D60" s="296" t="s">
        <v>216</v>
      </c>
      <c r="E60" s="297">
        <f>'11. MH bev.'!D12</f>
        <v>809000</v>
      </c>
      <c r="F60" s="297">
        <f>'11. MH bev.'!E12</f>
        <v>942000</v>
      </c>
      <c r="G60" s="297"/>
      <c r="H60" s="297"/>
      <c r="I60" s="297"/>
      <c r="J60" s="297"/>
      <c r="K60" s="297"/>
      <c r="L60" s="297"/>
      <c r="M60" s="297"/>
      <c r="N60" s="297"/>
      <c r="O60" s="297"/>
      <c r="P60" s="297"/>
      <c r="Q60" s="297">
        <f>'11. MH bev.'!L12</f>
        <v>0</v>
      </c>
      <c r="R60" s="297">
        <f>'11. MH bev.'!M12</f>
        <v>0</v>
      </c>
      <c r="S60" s="297"/>
      <c r="T60" s="297"/>
      <c r="U60" s="297">
        <f>'11. MH bev.'!P11</f>
        <v>0</v>
      </c>
      <c r="V60" s="297">
        <f>'11. MH bev.'!Q11</f>
        <v>215</v>
      </c>
      <c r="W60" s="297"/>
      <c r="X60" s="297"/>
      <c r="Y60" s="292">
        <f>E60+G60+I60+K60+M60+O60+Q60+W60+U60</f>
        <v>809000</v>
      </c>
      <c r="Z60" s="292">
        <f>F60+H60+J60+L60+N60+P60+R60+X60+V60</f>
        <v>942215</v>
      </c>
      <c r="AA60" s="293"/>
      <c r="AB60" s="293"/>
    </row>
    <row r="61" spans="1:28" ht="15.75" x14ac:dyDescent="0.25">
      <c r="A61" s="274" t="s">
        <v>335</v>
      </c>
      <c r="B61" s="275"/>
      <c r="C61" s="279"/>
      <c r="D61" s="278" t="s">
        <v>219</v>
      </c>
      <c r="E61" s="295">
        <f>E48+E52+E55+E44+E58</f>
        <v>106740811</v>
      </c>
      <c r="F61" s="295">
        <f t="shared" ref="F61:Z61" si="51">F48+F52+F55+F44+F58</f>
        <v>118934767</v>
      </c>
      <c r="G61" s="295">
        <f t="shared" si="51"/>
        <v>198157000</v>
      </c>
      <c r="H61" s="295">
        <f t="shared" si="51"/>
        <v>178576886</v>
      </c>
      <c r="I61" s="295">
        <f t="shared" si="51"/>
        <v>934726324</v>
      </c>
      <c r="J61" s="295">
        <f t="shared" si="51"/>
        <v>807430467</v>
      </c>
      <c r="K61" s="295">
        <f t="shared" si="51"/>
        <v>0</v>
      </c>
      <c r="L61" s="295">
        <f t="shared" si="51"/>
        <v>0</v>
      </c>
      <c r="M61" s="295">
        <f t="shared" si="51"/>
        <v>102194590</v>
      </c>
      <c r="N61" s="295">
        <f t="shared" si="51"/>
        <v>130336926</v>
      </c>
      <c r="O61" s="295">
        <f t="shared" si="51"/>
        <v>696302361</v>
      </c>
      <c r="P61" s="295">
        <f t="shared" si="51"/>
        <v>231918360</v>
      </c>
      <c r="Q61" s="295">
        <f t="shared" si="51"/>
        <v>0</v>
      </c>
      <c r="R61" s="295">
        <f t="shared" si="51"/>
        <v>0</v>
      </c>
      <c r="S61" s="295">
        <f t="shared" si="51"/>
        <v>0</v>
      </c>
      <c r="T61" s="295">
        <f t="shared" si="51"/>
        <v>1614961</v>
      </c>
      <c r="U61" s="295">
        <f t="shared" si="51"/>
        <v>32875125</v>
      </c>
      <c r="V61" s="295">
        <f t="shared" si="51"/>
        <v>41500354</v>
      </c>
      <c r="W61" s="295">
        <f t="shared" si="51"/>
        <v>50000000</v>
      </c>
      <c r="X61" s="295">
        <f t="shared" si="51"/>
        <v>310789144</v>
      </c>
      <c r="Y61" s="295">
        <f>Y48+Y52+Y55+Y44+Y58</f>
        <v>2120996211</v>
      </c>
      <c r="Z61" s="295">
        <f t="shared" si="51"/>
        <v>1821101865</v>
      </c>
      <c r="AA61" s="288"/>
    </row>
    <row r="62" spans="1:28" ht="15.75" x14ac:dyDescent="0.25">
      <c r="A62" s="274" t="s">
        <v>336</v>
      </c>
      <c r="B62" s="275"/>
      <c r="C62" s="279"/>
      <c r="D62" s="278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0"/>
      <c r="T62" s="300"/>
      <c r="U62" s="300"/>
      <c r="V62" s="300"/>
      <c r="W62" s="300"/>
      <c r="X62" s="300"/>
      <c r="Y62" s="295"/>
      <c r="Z62" s="295"/>
      <c r="AA62" s="288"/>
    </row>
    <row r="63" spans="1:28" x14ac:dyDescent="0.25">
      <c r="A63" s="274" t="s">
        <v>337</v>
      </c>
      <c r="B63" s="275"/>
      <c r="C63" s="289"/>
      <c r="D63" s="289" t="s">
        <v>220</v>
      </c>
      <c r="E63" s="290">
        <f>E45+E49+E53+E56+E59</f>
        <v>59397672</v>
      </c>
      <c r="F63" s="290">
        <f t="shared" ref="F63:Z63" si="52">F45+F49+F53+F56+F59</f>
        <v>70505401</v>
      </c>
      <c r="G63" s="290">
        <f t="shared" si="52"/>
        <v>198157000</v>
      </c>
      <c r="H63" s="290">
        <f t="shared" si="52"/>
        <v>178576886</v>
      </c>
      <c r="I63" s="290">
        <f t="shared" si="52"/>
        <v>829202016</v>
      </c>
      <c r="J63" s="290">
        <f t="shared" si="52"/>
        <v>710626949</v>
      </c>
      <c r="K63" s="290">
        <f t="shared" si="52"/>
        <v>0</v>
      </c>
      <c r="L63" s="290">
        <f t="shared" si="52"/>
        <v>0</v>
      </c>
      <c r="M63" s="290">
        <f t="shared" si="52"/>
        <v>101127790</v>
      </c>
      <c r="N63" s="290">
        <f t="shared" si="52"/>
        <v>109994126</v>
      </c>
      <c r="O63" s="290">
        <f t="shared" si="52"/>
        <v>128398477</v>
      </c>
      <c r="P63" s="290">
        <f t="shared" si="52"/>
        <v>135445200</v>
      </c>
      <c r="Q63" s="290">
        <f t="shared" si="52"/>
        <v>0</v>
      </c>
      <c r="R63" s="290">
        <f t="shared" si="52"/>
        <v>0</v>
      </c>
      <c r="S63" s="290">
        <f t="shared" si="52"/>
        <v>0</v>
      </c>
      <c r="T63" s="290">
        <f t="shared" si="52"/>
        <v>1614961</v>
      </c>
      <c r="U63" s="290">
        <f>U45+U49+U53+U56+U59</f>
        <v>14258921</v>
      </c>
      <c r="V63" s="290">
        <f>V45+V49+V53+V56+V59</f>
        <v>22434671</v>
      </c>
      <c r="W63" s="290">
        <f>W45+W49+W53+W56+W59</f>
        <v>50000000</v>
      </c>
      <c r="X63" s="290">
        <f>X45+X49+X53+X56+X59</f>
        <v>310789144</v>
      </c>
      <c r="Y63" s="290">
        <f>Y45+Y49+Y53+Y56+Y59</f>
        <v>1380541876</v>
      </c>
      <c r="Z63" s="290">
        <f t="shared" si="52"/>
        <v>1539987338</v>
      </c>
    </row>
    <row r="64" spans="1:28" s="281" customFormat="1" x14ac:dyDescent="0.25">
      <c r="A64" s="274" t="s">
        <v>338</v>
      </c>
      <c r="B64" s="275"/>
      <c r="C64" s="289"/>
      <c r="D64" s="289" t="s">
        <v>221</v>
      </c>
      <c r="E64" s="290">
        <f t="shared" ref="E64:Y64" si="53">E47+E50+E54+E57+E60</f>
        <v>47343139</v>
      </c>
      <c r="F64" s="290">
        <f t="shared" si="53"/>
        <v>48429366</v>
      </c>
      <c r="G64" s="290">
        <f t="shared" si="53"/>
        <v>0</v>
      </c>
      <c r="H64" s="290">
        <f t="shared" si="53"/>
        <v>0</v>
      </c>
      <c r="I64" s="290">
        <f t="shared" si="53"/>
        <v>105524308</v>
      </c>
      <c r="J64" s="290">
        <f t="shared" si="53"/>
        <v>96803518</v>
      </c>
      <c r="K64" s="290">
        <f t="shared" si="53"/>
        <v>0</v>
      </c>
      <c r="L64" s="290">
        <f t="shared" si="53"/>
        <v>0</v>
      </c>
      <c r="M64" s="290">
        <f t="shared" si="53"/>
        <v>1066800</v>
      </c>
      <c r="N64" s="290">
        <f t="shared" si="53"/>
        <v>20342800</v>
      </c>
      <c r="O64" s="290">
        <f t="shared" si="53"/>
        <v>567903884</v>
      </c>
      <c r="P64" s="290">
        <f t="shared" si="53"/>
        <v>96473160</v>
      </c>
      <c r="Q64" s="290">
        <f t="shared" si="53"/>
        <v>0</v>
      </c>
      <c r="R64" s="290">
        <f t="shared" si="53"/>
        <v>0</v>
      </c>
      <c r="S64" s="290">
        <f t="shared" si="53"/>
        <v>0</v>
      </c>
      <c r="T64" s="290">
        <f t="shared" si="53"/>
        <v>0</v>
      </c>
      <c r="U64" s="290">
        <f t="shared" si="53"/>
        <v>18616204</v>
      </c>
      <c r="V64" s="290">
        <f t="shared" si="53"/>
        <v>19065683</v>
      </c>
      <c r="W64" s="290">
        <f t="shared" si="53"/>
        <v>0</v>
      </c>
      <c r="X64" s="290">
        <f t="shared" si="53"/>
        <v>0</v>
      </c>
      <c r="Y64" s="290">
        <f t="shared" si="53"/>
        <v>740454335</v>
      </c>
      <c r="Z64" s="290">
        <f>Z47+Z50+Z54+Z57+Z60</f>
        <v>281114527</v>
      </c>
    </row>
    <row r="65" spans="1:28" x14ac:dyDescent="0.25">
      <c r="A65" s="274" t="s">
        <v>339</v>
      </c>
      <c r="B65" s="275"/>
      <c r="C65" s="289"/>
      <c r="D65" s="289" t="s">
        <v>275</v>
      </c>
      <c r="E65" s="290">
        <f>E51</f>
        <v>0</v>
      </c>
      <c r="F65" s="290">
        <f t="shared" ref="F65:Z65" si="54">F51</f>
        <v>0</v>
      </c>
      <c r="G65" s="290">
        <f t="shared" si="54"/>
        <v>0</v>
      </c>
      <c r="H65" s="290">
        <f t="shared" si="54"/>
        <v>0</v>
      </c>
      <c r="I65" s="290">
        <f t="shared" si="54"/>
        <v>0</v>
      </c>
      <c r="J65" s="290">
        <f t="shared" si="54"/>
        <v>0</v>
      </c>
      <c r="K65" s="290">
        <f t="shared" si="54"/>
        <v>0</v>
      </c>
      <c r="L65" s="290">
        <f t="shared" si="54"/>
        <v>0</v>
      </c>
      <c r="M65" s="290">
        <f t="shared" si="54"/>
        <v>0</v>
      </c>
      <c r="N65" s="290">
        <f t="shared" si="54"/>
        <v>0</v>
      </c>
      <c r="O65" s="290">
        <f t="shared" si="54"/>
        <v>0</v>
      </c>
      <c r="P65" s="290">
        <f t="shared" si="54"/>
        <v>0</v>
      </c>
      <c r="Q65" s="290">
        <f t="shared" si="54"/>
        <v>0</v>
      </c>
      <c r="R65" s="290">
        <f t="shared" si="54"/>
        <v>0</v>
      </c>
      <c r="S65" s="290">
        <f t="shared" si="54"/>
        <v>0</v>
      </c>
      <c r="T65" s="290">
        <f t="shared" si="54"/>
        <v>0</v>
      </c>
      <c r="U65" s="290">
        <f t="shared" si="54"/>
        <v>0</v>
      </c>
      <c r="V65" s="290">
        <f t="shared" si="54"/>
        <v>0</v>
      </c>
      <c r="W65" s="290">
        <f t="shared" si="54"/>
        <v>0</v>
      </c>
      <c r="X65" s="290">
        <f t="shared" si="54"/>
        <v>0</v>
      </c>
      <c r="Y65" s="290">
        <f t="shared" si="54"/>
        <v>0</v>
      </c>
      <c r="Z65" s="290">
        <f t="shared" si="54"/>
        <v>0</v>
      </c>
    </row>
    <row r="66" spans="1:28" x14ac:dyDescent="0.25">
      <c r="A66" s="274" t="s">
        <v>340</v>
      </c>
      <c r="B66" s="275"/>
      <c r="C66" s="301"/>
      <c r="D66" s="301" t="s">
        <v>222</v>
      </c>
      <c r="E66" s="302">
        <f>SUM(E63:E65)</f>
        <v>106740811</v>
      </c>
      <c r="F66" s="302">
        <f t="shared" ref="F66:V66" si="55">SUM(F63:F65)</f>
        <v>118934767</v>
      </c>
      <c r="G66" s="302">
        <f t="shared" si="55"/>
        <v>198157000</v>
      </c>
      <c r="H66" s="302">
        <f t="shared" si="55"/>
        <v>178576886</v>
      </c>
      <c r="I66" s="302">
        <f t="shared" si="55"/>
        <v>934726324</v>
      </c>
      <c r="J66" s="302">
        <f t="shared" si="55"/>
        <v>807430467</v>
      </c>
      <c r="K66" s="302">
        <f t="shared" si="55"/>
        <v>0</v>
      </c>
      <c r="L66" s="302">
        <f t="shared" si="55"/>
        <v>0</v>
      </c>
      <c r="M66" s="302">
        <f t="shared" si="55"/>
        <v>102194590</v>
      </c>
      <c r="N66" s="302">
        <f t="shared" si="55"/>
        <v>130336926</v>
      </c>
      <c r="O66" s="302">
        <f t="shared" si="55"/>
        <v>696302361</v>
      </c>
      <c r="P66" s="302">
        <f t="shared" si="55"/>
        <v>231918360</v>
      </c>
      <c r="Q66" s="302">
        <f t="shared" si="55"/>
        <v>0</v>
      </c>
      <c r="R66" s="302">
        <f t="shared" si="55"/>
        <v>0</v>
      </c>
      <c r="S66" s="302">
        <f t="shared" si="55"/>
        <v>0</v>
      </c>
      <c r="T66" s="302">
        <f t="shared" si="55"/>
        <v>1614961</v>
      </c>
      <c r="U66" s="302">
        <f t="shared" si="55"/>
        <v>32875125</v>
      </c>
      <c r="V66" s="302">
        <f t="shared" si="55"/>
        <v>41500354</v>
      </c>
      <c r="W66" s="302">
        <f>SUM(W63:W65)</f>
        <v>50000000</v>
      </c>
      <c r="X66" s="302">
        <f>SUM(X63:X65)</f>
        <v>310789144</v>
      </c>
      <c r="Y66" s="302">
        <f>SUM(Y63:Y65)</f>
        <v>2120996211</v>
      </c>
      <c r="Z66" s="302">
        <f>SUM(Z63:Z65)</f>
        <v>1821101865</v>
      </c>
      <c r="AA66" s="288">
        <f>Z66-'12.Önk kiad'!AC80</f>
        <v>0</v>
      </c>
      <c r="AB66" s="288"/>
    </row>
    <row r="67" spans="1:28" x14ac:dyDescent="0.25">
      <c r="E67" s="273">
        <f>E66-E61</f>
        <v>0</v>
      </c>
      <c r="F67" s="273">
        <f t="shared" ref="F67:X67" si="56">F66-F61</f>
        <v>0</v>
      </c>
      <c r="G67" s="273">
        <f t="shared" si="56"/>
        <v>0</v>
      </c>
      <c r="H67" s="273">
        <f t="shared" si="56"/>
        <v>0</v>
      </c>
      <c r="I67" s="273">
        <f t="shared" si="56"/>
        <v>0</v>
      </c>
      <c r="J67" s="273">
        <f t="shared" si="56"/>
        <v>0</v>
      </c>
      <c r="K67" s="273">
        <f t="shared" si="56"/>
        <v>0</v>
      </c>
      <c r="L67" s="273">
        <f t="shared" si="56"/>
        <v>0</v>
      </c>
      <c r="M67" s="273">
        <f t="shared" si="56"/>
        <v>0</v>
      </c>
      <c r="N67" s="273">
        <f t="shared" si="56"/>
        <v>0</v>
      </c>
      <c r="O67" s="273">
        <f t="shared" si="56"/>
        <v>0</v>
      </c>
      <c r="P67" s="273">
        <f t="shared" si="56"/>
        <v>0</v>
      </c>
      <c r="Q67" s="273">
        <f t="shared" si="56"/>
        <v>0</v>
      </c>
      <c r="R67" s="273">
        <f t="shared" si="56"/>
        <v>0</v>
      </c>
      <c r="S67" s="273">
        <f>S66-S61</f>
        <v>0</v>
      </c>
      <c r="T67" s="273">
        <f t="shared" si="56"/>
        <v>0</v>
      </c>
      <c r="U67" s="273">
        <f t="shared" si="56"/>
        <v>0</v>
      </c>
      <c r="V67" s="273">
        <f t="shared" si="56"/>
        <v>0</v>
      </c>
      <c r="W67" s="273">
        <f t="shared" si="56"/>
        <v>0</v>
      </c>
      <c r="X67" s="273">
        <f t="shared" si="56"/>
        <v>0</v>
      </c>
      <c r="Y67" s="273">
        <f>Y66-Y61</f>
        <v>0</v>
      </c>
      <c r="Z67" s="273">
        <f>Z66-Z61</f>
        <v>0</v>
      </c>
      <c r="AA67" s="288"/>
    </row>
    <row r="68" spans="1:28" x14ac:dyDescent="0.25">
      <c r="E68" s="288"/>
      <c r="F68" s="288"/>
      <c r="G68" s="288"/>
      <c r="H68" s="288"/>
      <c r="I68" s="288"/>
      <c r="J68" s="288"/>
      <c r="K68" s="288"/>
      <c r="L68" s="288"/>
      <c r="M68" s="288"/>
      <c r="N68" s="288"/>
      <c r="O68" s="288"/>
      <c r="P68" s="288"/>
      <c r="Q68" s="288"/>
      <c r="R68" s="288"/>
      <c r="S68" s="288"/>
      <c r="T68" s="288"/>
      <c r="U68" s="288"/>
      <c r="V68" s="288"/>
      <c r="W68" s="288"/>
      <c r="X68" s="288"/>
      <c r="Y68" s="288"/>
      <c r="Z68" s="288"/>
    </row>
    <row r="69" spans="1:28" x14ac:dyDescent="0.25">
      <c r="Z69" s="273"/>
    </row>
    <row r="71" spans="1:28" x14ac:dyDescent="0.25">
      <c r="Z71" s="288"/>
    </row>
  </sheetData>
  <mergeCells count="24">
    <mergeCell ref="U3:V3"/>
    <mergeCell ref="W3:X3"/>
    <mergeCell ref="Y3:Z3"/>
    <mergeCell ref="K3:L3"/>
    <mergeCell ref="M3:N3"/>
    <mergeCell ref="O3:P3"/>
    <mergeCell ref="Q3:R3"/>
    <mergeCell ref="S3:T3"/>
    <mergeCell ref="Q1:Y1"/>
    <mergeCell ref="D2:Z2"/>
    <mergeCell ref="E4:F4"/>
    <mergeCell ref="G4:H4"/>
    <mergeCell ref="I4:J4"/>
    <mergeCell ref="M4:N4"/>
    <mergeCell ref="O4:P4"/>
    <mergeCell ref="Q4:R4"/>
    <mergeCell ref="W4:X4"/>
    <mergeCell ref="Y4:Z4"/>
    <mergeCell ref="K4:L4"/>
    <mergeCell ref="U4:V4"/>
    <mergeCell ref="S4:T4"/>
    <mergeCell ref="E3:F3"/>
    <mergeCell ref="G3:H3"/>
    <mergeCell ref="I3:J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6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</sheetPr>
  <dimension ref="A1:X11"/>
  <sheetViews>
    <sheetView zoomScaleNormal="100" zoomScaleSheetLayoutView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L1" sqref="L1:T1"/>
    </sheetView>
  </sheetViews>
  <sheetFormatPr defaultRowHeight="15" x14ac:dyDescent="0.25"/>
  <cols>
    <col min="1" max="1" width="6.140625" style="87" customWidth="1"/>
    <col min="2" max="2" width="15.7109375" style="87" customWidth="1"/>
    <col min="3" max="3" width="31.28515625" style="87" bestFit="1" customWidth="1"/>
    <col min="4" max="5" width="12.7109375" style="87" customWidth="1"/>
    <col min="6" max="7" width="12.85546875" style="87" customWidth="1"/>
    <col min="8" max="8" width="12.5703125" style="87" customWidth="1"/>
    <col min="9" max="9" width="11.85546875" style="87" customWidth="1"/>
    <col min="10" max="10" width="11.28515625" style="87" customWidth="1"/>
    <col min="11" max="11" width="10.140625" style="87" customWidth="1"/>
    <col min="12" max="12" width="10.42578125" style="87" customWidth="1"/>
    <col min="13" max="13" width="8.42578125" style="87" customWidth="1"/>
    <col min="14" max="14" width="10.5703125" style="87" customWidth="1"/>
    <col min="15" max="15" width="10.42578125" style="87" customWidth="1"/>
    <col min="16" max="16" width="12.7109375" style="87" customWidth="1"/>
    <col min="17" max="17" width="13.7109375" style="87" customWidth="1"/>
    <col min="18" max="18" width="11.28515625" style="87" customWidth="1"/>
    <col min="19" max="19" width="11" style="87" customWidth="1"/>
    <col min="20" max="20" width="12.5703125" style="87" customWidth="1"/>
    <col min="21" max="22" width="0" style="87" hidden="1" customWidth="1"/>
    <col min="23" max="23" width="13.28515625" style="87" customWidth="1"/>
    <col min="24" max="16384" width="9.140625" style="87"/>
  </cols>
  <sheetData>
    <row r="1" spans="1:24" x14ac:dyDescent="0.25">
      <c r="L1" s="330" t="s">
        <v>612</v>
      </c>
      <c r="M1" s="330"/>
      <c r="N1" s="330"/>
      <c r="O1" s="330"/>
      <c r="P1" s="330"/>
      <c r="Q1" s="330"/>
      <c r="R1" s="330"/>
      <c r="S1" s="330"/>
      <c r="T1" s="330"/>
    </row>
    <row r="2" spans="1:24" ht="43.5" customHeight="1" x14ac:dyDescent="0.25">
      <c r="A2" s="104"/>
      <c r="B2" s="104"/>
      <c r="C2" s="332" t="s">
        <v>547</v>
      </c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3"/>
    </row>
    <row r="3" spans="1:24" ht="43.5" customHeight="1" x14ac:dyDescent="0.25">
      <c r="A3" s="100" t="s">
        <v>147</v>
      </c>
      <c r="B3" s="100" t="s">
        <v>170</v>
      </c>
      <c r="C3" s="163" t="s">
        <v>148</v>
      </c>
      <c r="D3" s="329" t="s">
        <v>149</v>
      </c>
      <c r="E3" s="329"/>
      <c r="F3" s="329" t="s">
        <v>150</v>
      </c>
      <c r="G3" s="329"/>
      <c r="H3" s="329" t="s">
        <v>188</v>
      </c>
      <c r="I3" s="329"/>
      <c r="J3" s="329" t="s">
        <v>194</v>
      </c>
      <c r="K3" s="329"/>
      <c r="L3" s="329" t="s">
        <v>195</v>
      </c>
      <c r="M3" s="329"/>
      <c r="N3" s="329" t="s">
        <v>196</v>
      </c>
      <c r="O3" s="329"/>
      <c r="P3" s="329" t="s">
        <v>197</v>
      </c>
      <c r="Q3" s="329"/>
      <c r="R3" s="329" t="s">
        <v>244</v>
      </c>
      <c r="S3" s="329"/>
      <c r="T3" s="329" t="s">
        <v>229</v>
      </c>
      <c r="U3" s="329"/>
      <c r="V3" s="329"/>
      <c r="W3" s="329"/>
    </row>
    <row r="4" spans="1:24" ht="81.75" customHeight="1" x14ac:dyDescent="0.25">
      <c r="A4" s="162" t="s">
        <v>3</v>
      </c>
      <c r="B4" s="89" t="s">
        <v>198</v>
      </c>
      <c r="C4" s="90" t="s">
        <v>199</v>
      </c>
      <c r="D4" s="331" t="s">
        <v>158</v>
      </c>
      <c r="E4" s="331"/>
      <c r="F4" s="331" t="s">
        <v>157</v>
      </c>
      <c r="G4" s="331"/>
      <c r="H4" s="331" t="s">
        <v>201</v>
      </c>
      <c r="I4" s="331"/>
      <c r="J4" s="331" t="s">
        <v>202</v>
      </c>
      <c r="K4" s="331"/>
      <c r="L4" s="331" t="s">
        <v>203</v>
      </c>
      <c r="M4" s="331"/>
      <c r="N4" s="331" t="s">
        <v>223</v>
      </c>
      <c r="O4" s="331"/>
      <c r="P4" s="331" t="s">
        <v>224</v>
      </c>
      <c r="Q4" s="331"/>
      <c r="R4" s="331" t="s">
        <v>272</v>
      </c>
      <c r="S4" s="331"/>
      <c r="T4" s="331" t="s">
        <v>204</v>
      </c>
      <c r="U4" s="331"/>
      <c r="V4" s="331"/>
      <c r="W4" s="331"/>
    </row>
    <row r="5" spans="1:24" ht="57" x14ac:dyDescent="0.25">
      <c r="A5" s="162" t="s">
        <v>5</v>
      </c>
      <c r="B5" s="88"/>
      <c r="C5" s="91" t="s">
        <v>225</v>
      </c>
      <c r="D5" s="92" t="s">
        <v>539</v>
      </c>
      <c r="E5" s="56" t="s">
        <v>540</v>
      </c>
      <c r="F5" s="92" t="s">
        <v>539</v>
      </c>
      <c r="G5" s="56" t="s">
        <v>540</v>
      </c>
      <c r="H5" s="92" t="s">
        <v>539</v>
      </c>
      <c r="I5" s="56" t="s">
        <v>540</v>
      </c>
      <c r="J5" s="92" t="s">
        <v>539</v>
      </c>
      <c r="K5" s="56" t="s">
        <v>540</v>
      </c>
      <c r="L5" s="92" t="s">
        <v>539</v>
      </c>
      <c r="M5" s="56" t="s">
        <v>540</v>
      </c>
      <c r="N5" s="92" t="s">
        <v>539</v>
      </c>
      <c r="O5" s="56" t="s">
        <v>540</v>
      </c>
      <c r="P5" s="92" t="s">
        <v>539</v>
      </c>
      <c r="Q5" s="56" t="s">
        <v>540</v>
      </c>
      <c r="R5" s="92" t="s">
        <v>539</v>
      </c>
      <c r="S5" s="56" t="s">
        <v>540</v>
      </c>
      <c r="T5" s="92" t="s">
        <v>539</v>
      </c>
      <c r="U5" s="56" t="s">
        <v>540</v>
      </c>
      <c r="V5" s="92" t="s">
        <v>546</v>
      </c>
      <c r="W5" s="56" t="s">
        <v>540</v>
      </c>
    </row>
    <row r="6" spans="1:24" x14ac:dyDescent="0.25">
      <c r="A6" s="162" t="s">
        <v>15</v>
      </c>
      <c r="B6" s="88" t="s">
        <v>267</v>
      </c>
      <c r="C6" s="93" t="s">
        <v>262</v>
      </c>
      <c r="D6" s="94"/>
      <c r="E6" s="94"/>
      <c r="F6" s="94"/>
      <c r="G6" s="94"/>
      <c r="H6" s="135"/>
      <c r="I6" s="135"/>
      <c r="J6" s="135"/>
      <c r="K6" s="135"/>
      <c r="L6" s="135"/>
      <c r="M6" s="135"/>
      <c r="N6" s="135"/>
      <c r="O6" s="135"/>
      <c r="P6" s="136">
        <v>47008000</v>
      </c>
      <c r="Q6" s="136">
        <v>47008000</v>
      </c>
      <c r="R6" s="136"/>
      <c r="S6" s="136"/>
      <c r="T6" s="137">
        <f>D6+F6+H6+J6+L6+P6</f>
        <v>47008000</v>
      </c>
      <c r="U6" s="137">
        <f t="shared" ref="U6:V6" si="0">E6+G6+I6+K6+M6+Q6</f>
        <v>47008000</v>
      </c>
      <c r="V6" s="137">
        <f t="shared" si="0"/>
        <v>0</v>
      </c>
      <c r="W6" s="137">
        <f>E6+G6+I6+K6+M6+O6+Q6+S6</f>
        <v>47008000</v>
      </c>
    </row>
    <row r="7" spans="1:24" x14ac:dyDescent="0.25">
      <c r="A7" s="162" t="s">
        <v>20</v>
      </c>
      <c r="B7" s="88" t="s">
        <v>205</v>
      </c>
      <c r="C7" s="93" t="s">
        <v>226</v>
      </c>
      <c r="D7" s="136">
        <v>714000</v>
      </c>
      <c r="E7" s="136">
        <v>459003</v>
      </c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6">
        <v>172148590</v>
      </c>
      <c r="Q7" s="136">
        <v>161559459</v>
      </c>
      <c r="R7" s="136"/>
      <c r="S7" s="164">
        <v>2738265</v>
      </c>
      <c r="T7" s="137">
        <f>D7+F7+H7+J7+L7+P7+R7</f>
        <v>172862590</v>
      </c>
      <c r="U7" s="138">
        <v>218</v>
      </c>
      <c r="V7" s="138">
        <f>1673+87</f>
        <v>1760</v>
      </c>
      <c r="W7" s="137">
        <f>E7+G7+I7+K7+M7+O7+Q7+S7</f>
        <v>164756727</v>
      </c>
    </row>
    <row r="8" spans="1:24" x14ac:dyDescent="0.25">
      <c r="A8" s="162" t="s">
        <v>29</v>
      </c>
      <c r="B8" s="88" t="s">
        <v>205</v>
      </c>
      <c r="C8" s="93" t="s">
        <v>524</v>
      </c>
      <c r="D8" s="136"/>
      <c r="E8" s="136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6"/>
      <c r="Q8" s="136"/>
      <c r="R8" s="136"/>
      <c r="S8" s="164"/>
      <c r="T8" s="137">
        <f>D8+F8+H8+J8+L8+P8+R8</f>
        <v>0</v>
      </c>
      <c r="U8" s="138">
        <v>219</v>
      </c>
      <c r="V8" s="138">
        <f>1673+87</f>
        <v>1760</v>
      </c>
      <c r="W8" s="137">
        <f>E8+G8+I8+K8+M8+O8+Q8+S8</f>
        <v>0</v>
      </c>
    </row>
    <row r="9" spans="1:24" ht="15.75" x14ac:dyDescent="0.25">
      <c r="A9" s="162" t="s">
        <v>51</v>
      </c>
      <c r="B9" s="88"/>
      <c r="C9" s="91" t="s">
        <v>227</v>
      </c>
      <c r="D9" s="137">
        <f>SUM(D7:D8)</f>
        <v>714000</v>
      </c>
      <c r="E9" s="137">
        <f>SUM(E7:E8)</f>
        <v>459003</v>
      </c>
      <c r="F9" s="137"/>
      <c r="G9" s="137">
        <f t="shared" ref="G9:W9" si="1">SUM(G6:G8)</f>
        <v>0</v>
      </c>
      <c r="H9" s="137">
        <f t="shared" si="1"/>
        <v>0</v>
      </c>
      <c r="I9" s="137">
        <f t="shared" si="1"/>
        <v>0</v>
      </c>
      <c r="J9" s="137">
        <f t="shared" si="1"/>
        <v>0</v>
      </c>
      <c r="K9" s="137">
        <f t="shared" si="1"/>
        <v>0</v>
      </c>
      <c r="L9" s="137">
        <f t="shared" si="1"/>
        <v>0</v>
      </c>
      <c r="M9" s="137">
        <f t="shared" si="1"/>
        <v>0</v>
      </c>
      <c r="N9" s="137">
        <f t="shared" si="1"/>
        <v>0</v>
      </c>
      <c r="O9" s="137">
        <f t="shared" si="1"/>
        <v>0</v>
      </c>
      <c r="P9" s="137">
        <f>SUM(P6:P8)</f>
        <v>219156590</v>
      </c>
      <c r="Q9" s="137">
        <f>SUM(Q6:Q8)</f>
        <v>208567459</v>
      </c>
      <c r="R9" s="137">
        <f t="shared" si="1"/>
        <v>0</v>
      </c>
      <c r="S9" s="137">
        <f t="shared" si="1"/>
        <v>2738265</v>
      </c>
      <c r="T9" s="137">
        <f t="shared" si="1"/>
        <v>219870590</v>
      </c>
      <c r="U9" s="137">
        <f t="shared" si="1"/>
        <v>47008437</v>
      </c>
      <c r="V9" s="137">
        <f t="shared" si="1"/>
        <v>3520</v>
      </c>
      <c r="W9" s="137">
        <f t="shared" si="1"/>
        <v>211764727</v>
      </c>
      <c r="X9" s="116"/>
    </row>
    <row r="10" spans="1:24" x14ac:dyDescent="0.25">
      <c r="A10" s="162" t="s">
        <v>53</v>
      </c>
      <c r="B10" s="95"/>
      <c r="C10" s="95" t="s">
        <v>228</v>
      </c>
      <c r="D10" s="138">
        <f>D7+D8</f>
        <v>714000</v>
      </c>
      <c r="E10" s="138">
        <f t="shared" ref="E10:W10" si="2">E7+E8</f>
        <v>459003</v>
      </c>
      <c r="F10" s="138">
        <f t="shared" si="2"/>
        <v>0</v>
      </c>
      <c r="G10" s="138">
        <f t="shared" si="2"/>
        <v>0</v>
      </c>
      <c r="H10" s="138">
        <f t="shared" si="2"/>
        <v>0</v>
      </c>
      <c r="I10" s="138">
        <f t="shared" si="2"/>
        <v>0</v>
      </c>
      <c r="J10" s="138">
        <f t="shared" si="2"/>
        <v>0</v>
      </c>
      <c r="K10" s="138">
        <f t="shared" si="2"/>
        <v>0</v>
      </c>
      <c r="L10" s="138">
        <f t="shared" si="2"/>
        <v>0</v>
      </c>
      <c r="M10" s="138">
        <f t="shared" si="2"/>
        <v>0</v>
      </c>
      <c r="N10" s="138">
        <f t="shared" si="2"/>
        <v>0</v>
      </c>
      <c r="O10" s="138">
        <f t="shared" si="2"/>
        <v>0</v>
      </c>
      <c r="P10" s="138">
        <f t="shared" si="2"/>
        <v>172148590</v>
      </c>
      <c r="Q10" s="138">
        <f t="shared" si="2"/>
        <v>161559459</v>
      </c>
      <c r="R10" s="138">
        <f t="shared" si="2"/>
        <v>0</v>
      </c>
      <c r="S10" s="138">
        <f t="shared" si="2"/>
        <v>2738265</v>
      </c>
      <c r="T10" s="138">
        <f t="shared" si="2"/>
        <v>172862590</v>
      </c>
      <c r="U10" s="138">
        <f t="shared" si="2"/>
        <v>437</v>
      </c>
      <c r="V10" s="138">
        <f t="shared" si="2"/>
        <v>3520</v>
      </c>
      <c r="W10" s="138">
        <f t="shared" si="2"/>
        <v>164756727</v>
      </c>
    </row>
    <row r="11" spans="1:24" x14ac:dyDescent="0.25">
      <c r="A11" s="162" t="s">
        <v>55</v>
      </c>
      <c r="B11" s="95"/>
      <c r="C11" s="95" t="s">
        <v>266</v>
      </c>
      <c r="D11" s="138">
        <f>D6</f>
        <v>0</v>
      </c>
      <c r="E11" s="138">
        <f t="shared" ref="E11:W11" si="3">E6</f>
        <v>0</v>
      </c>
      <c r="F11" s="138">
        <f t="shared" si="3"/>
        <v>0</v>
      </c>
      <c r="G11" s="138">
        <f t="shared" si="3"/>
        <v>0</v>
      </c>
      <c r="H11" s="138">
        <f t="shared" si="3"/>
        <v>0</v>
      </c>
      <c r="I11" s="138">
        <f t="shared" si="3"/>
        <v>0</v>
      </c>
      <c r="J11" s="138">
        <f t="shared" si="3"/>
        <v>0</v>
      </c>
      <c r="K11" s="138">
        <f t="shared" si="3"/>
        <v>0</v>
      </c>
      <c r="L11" s="138">
        <f t="shared" si="3"/>
        <v>0</v>
      </c>
      <c r="M11" s="138">
        <f t="shared" si="3"/>
        <v>0</v>
      </c>
      <c r="N11" s="138">
        <f t="shared" si="3"/>
        <v>0</v>
      </c>
      <c r="O11" s="138">
        <f t="shared" si="3"/>
        <v>0</v>
      </c>
      <c r="P11" s="138">
        <f t="shared" si="3"/>
        <v>47008000</v>
      </c>
      <c r="Q11" s="138">
        <f t="shared" si="3"/>
        <v>47008000</v>
      </c>
      <c r="R11" s="138">
        <f t="shared" si="3"/>
        <v>0</v>
      </c>
      <c r="S11" s="138">
        <f t="shared" si="3"/>
        <v>0</v>
      </c>
      <c r="T11" s="138">
        <f t="shared" si="3"/>
        <v>47008000</v>
      </c>
      <c r="U11" s="138">
        <f t="shared" si="3"/>
        <v>47008000</v>
      </c>
      <c r="V11" s="138">
        <f t="shared" si="3"/>
        <v>0</v>
      </c>
      <c r="W11" s="138">
        <f t="shared" si="3"/>
        <v>47008000</v>
      </c>
    </row>
  </sheetData>
  <mergeCells count="20">
    <mergeCell ref="T4:W4"/>
    <mergeCell ref="C2:W2"/>
    <mergeCell ref="D3:E3"/>
    <mergeCell ref="F3:G3"/>
    <mergeCell ref="H3:I3"/>
    <mergeCell ref="J3:K3"/>
    <mergeCell ref="L3:M3"/>
    <mergeCell ref="R4:S4"/>
    <mergeCell ref="D4:E4"/>
    <mergeCell ref="F4:G4"/>
    <mergeCell ref="H4:I4"/>
    <mergeCell ref="J4:K4"/>
    <mergeCell ref="L4:M4"/>
    <mergeCell ref="N4:O4"/>
    <mergeCell ref="P4:Q4"/>
    <mergeCell ref="N3:O3"/>
    <mergeCell ref="P3:Q3"/>
    <mergeCell ref="R3:S3"/>
    <mergeCell ref="T3:W3"/>
    <mergeCell ref="L1:T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59999389629810485"/>
  </sheetPr>
  <dimension ref="A1:X23"/>
  <sheetViews>
    <sheetView zoomScaleNormal="100" zoomScaleSheetLayoutView="100"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C2" sqref="C2:V2"/>
    </sheetView>
  </sheetViews>
  <sheetFormatPr defaultRowHeight="15" x14ac:dyDescent="0.25"/>
  <cols>
    <col min="1" max="1" width="5.28515625" style="96" customWidth="1"/>
    <col min="2" max="2" width="14.28515625" style="96" customWidth="1"/>
    <col min="3" max="3" width="31.5703125" style="96" customWidth="1"/>
    <col min="4" max="5" width="11.7109375" style="96" bestFit="1" customWidth="1"/>
    <col min="6" max="6" width="10.85546875" style="96" bestFit="1" customWidth="1"/>
    <col min="7" max="7" width="10.5703125" style="96" customWidth="1"/>
    <col min="8" max="8" width="10.85546875" style="96" bestFit="1" customWidth="1"/>
    <col min="9" max="9" width="10.28515625" style="96" customWidth="1"/>
    <col min="10" max="10" width="10.85546875" style="96" bestFit="1" customWidth="1"/>
    <col min="11" max="11" width="12.85546875" style="96" customWidth="1"/>
    <col min="12" max="12" width="10.85546875" style="96" bestFit="1" customWidth="1"/>
    <col min="13" max="13" width="13.7109375" style="96" customWidth="1"/>
    <col min="14" max="14" width="10.85546875" style="96" bestFit="1" customWidth="1"/>
    <col min="15" max="15" width="12.140625" style="96" customWidth="1"/>
    <col min="16" max="17" width="12.42578125" style="96" bestFit="1" customWidth="1"/>
    <col min="18" max="18" width="11.28515625" style="96" customWidth="1"/>
    <col min="19" max="19" width="10.5703125" style="96" customWidth="1"/>
    <col min="20" max="20" width="13.42578125" style="96" customWidth="1"/>
    <col min="21" max="21" width="0" style="98" hidden="1" customWidth="1"/>
    <col min="22" max="22" width="12.42578125" style="96" bestFit="1" customWidth="1"/>
    <col min="23" max="23" width="12.7109375" style="96" customWidth="1"/>
    <col min="24" max="24" width="13" style="96" customWidth="1"/>
    <col min="25" max="16384" width="9.140625" style="96"/>
  </cols>
  <sheetData>
    <row r="1" spans="1:24" s="234" customFormat="1" x14ac:dyDescent="0.25">
      <c r="N1" s="47"/>
      <c r="O1" s="47"/>
      <c r="P1" s="47"/>
      <c r="Q1" s="47"/>
      <c r="R1" s="47"/>
      <c r="S1" s="47"/>
      <c r="T1" s="238" t="s">
        <v>613</v>
      </c>
      <c r="U1" s="235"/>
    </row>
    <row r="2" spans="1:24" s="234" customFormat="1" ht="18.75" x14ac:dyDescent="0.25">
      <c r="A2" s="177"/>
      <c r="B2" s="177"/>
      <c r="C2" s="336" t="s">
        <v>541</v>
      </c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7"/>
    </row>
    <row r="3" spans="1:24" s="234" customFormat="1" x14ac:dyDescent="0.25">
      <c r="A3" s="73" t="s">
        <v>147</v>
      </c>
      <c r="B3" s="73" t="s">
        <v>170</v>
      </c>
      <c r="C3" s="110" t="s">
        <v>148</v>
      </c>
      <c r="D3" s="334" t="s">
        <v>149</v>
      </c>
      <c r="E3" s="334"/>
      <c r="F3" s="334" t="s">
        <v>150</v>
      </c>
      <c r="G3" s="334"/>
      <c r="H3" s="334" t="s">
        <v>188</v>
      </c>
      <c r="I3" s="334"/>
      <c r="J3" s="334" t="s">
        <v>194</v>
      </c>
      <c r="K3" s="334"/>
      <c r="L3" s="334" t="s">
        <v>195</v>
      </c>
      <c r="M3" s="334"/>
      <c r="N3" s="334" t="s">
        <v>196</v>
      </c>
      <c r="O3" s="334"/>
      <c r="P3" s="334" t="s">
        <v>197</v>
      </c>
      <c r="Q3" s="334"/>
      <c r="R3" s="334" t="s">
        <v>244</v>
      </c>
      <c r="S3" s="334"/>
      <c r="T3" s="334" t="s">
        <v>229</v>
      </c>
      <c r="U3" s="334"/>
      <c r="V3" s="334"/>
    </row>
    <row r="4" spans="1:24" s="234" customFormat="1" ht="57" customHeight="1" x14ac:dyDescent="0.25">
      <c r="A4" s="243" t="s">
        <v>355</v>
      </c>
      <c r="B4" s="56" t="s">
        <v>232</v>
      </c>
      <c r="C4" s="55" t="s">
        <v>199</v>
      </c>
      <c r="D4" s="335" t="s">
        <v>158</v>
      </c>
      <c r="E4" s="335"/>
      <c r="F4" s="335" t="s">
        <v>157</v>
      </c>
      <c r="G4" s="335"/>
      <c r="H4" s="335" t="s">
        <v>201</v>
      </c>
      <c r="I4" s="335"/>
      <c r="J4" s="335" t="s">
        <v>202</v>
      </c>
      <c r="K4" s="335"/>
      <c r="L4" s="335" t="s">
        <v>203</v>
      </c>
      <c r="M4" s="335"/>
      <c r="N4" s="335" t="s">
        <v>223</v>
      </c>
      <c r="O4" s="335"/>
      <c r="P4" s="335" t="s">
        <v>224</v>
      </c>
      <c r="Q4" s="335"/>
      <c r="R4" s="335" t="s">
        <v>272</v>
      </c>
      <c r="S4" s="335"/>
      <c r="T4" s="335" t="s">
        <v>204</v>
      </c>
      <c r="U4" s="335"/>
      <c r="V4" s="335"/>
    </row>
    <row r="5" spans="1:24" s="234" customFormat="1" ht="57" x14ac:dyDescent="0.25">
      <c r="A5" s="243" t="s">
        <v>356</v>
      </c>
      <c r="B5" s="244"/>
      <c r="C5" s="55" t="s">
        <v>225</v>
      </c>
      <c r="D5" s="56" t="s">
        <v>539</v>
      </c>
      <c r="E5" s="56" t="s">
        <v>540</v>
      </c>
      <c r="F5" s="56" t="s">
        <v>539</v>
      </c>
      <c r="G5" s="56" t="s">
        <v>540</v>
      </c>
      <c r="H5" s="56" t="s">
        <v>539</v>
      </c>
      <c r="I5" s="56" t="s">
        <v>540</v>
      </c>
      <c r="J5" s="56" t="s">
        <v>539</v>
      </c>
      <c r="K5" s="56" t="s">
        <v>540</v>
      </c>
      <c r="L5" s="56" t="s">
        <v>539</v>
      </c>
      <c r="M5" s="56" t="s">
        <v>540</v>
      </c>
      <c r="N5" s="56" t="s">
        <v>539</v>
      </c>
      <c r="O5" s="56" t="s">
        <v>540</v>
      </c>
      <c r="P5" s="56" t="s">
        <v>539</v>
      </c>
      <c r="Q5" s="56" t="s">
        <v>540</v>
      </c>
      <c r="R5" s="56" t="s">
        <v>539</v>
      </c>
      <c r="S5" s="56" t="s">
        <v>540</v>
      </c>
      <c r="T5" s="56" t="s">
        <v>539</v>
      </c>
      <c r="U5" s="56" t="s">
        <v>540</v>
      </c>
      <c r="V5" s="56" t="s">
        <v>546</v>
      </c>
    </row>
    <row r="6" spans="1:24" s="234" customFormat="1" x14ac:dyDescent="0.25">
      <c r="A6" s="243" t="s">
        <v>357</v>
      </c>
      <c r="B6" s="44" t="s">
        <v>207</v>
      </c>
      <c r="C6" s="245" t="s">
        <v>375</v>
      </c>
      <c r="D6" s="246">
        <v>10000</v>
      </c>
      <c r="E6" s="246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228">
        <v>0</v>
      </c>
      <c r="Q6" s="228">
        <v>0</v>
      </c>
      <c r="R6" s="57"/>
      <c r="S6" s="57"/>
      <c r="T6" s="211">
        <f>D6+F6+H6+J6+L6+N6+P6+R6</f>
        <v>10000</v>
      </c>
      <c r="U6" s="211">
        <f t="shared" ref="U6:U7" si="0">E6+G6+I6+K6+M6+O6+Q6+S6</f>
        <v>0</v>
      </c>
      <c r="V6" s="211">
        <f>E6+G6+I6+K6+M6+O6+Q6+S6</f>
        <v>0</v>
      </c>
    </row>
    <row r="7" spans="1:24" s="234" customFormat="1" x14ac:dyDescent="0.25">
      <c r="A7" s="243" t="s">
        <v>358</v>
      </c>
      <c r="B7" s="44" t="s">
        <v>205</v>
      </c>
      <c r="C7" s="45" t="s">
        <v>233</v>
      </c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146">
        <f>2788500-10000</f>
        <v>2778500</v>
      </c>
      <c r="Q7" s="146">
        <v>3717374</v>
      </c>
      <c r="R7" s="146"/>
      <c r="S7" s="146"/>
      <c r="T7" s="211">
        <f t="shared" ref="T7" si="1">D7+F7+H7+J7+L7+N7+P7+R7</f>
        <v>2778500</v>
      </c>
      <c r="U7" s="211">
        <f t="shared" si="0"/>
        <v>3717374</v>
      </c>
      <c r="V7" s="211">
        <f t="shared" ref="V7:V17" si="2">E7+G7+I7+K7+M7+O7+Q7+S7</f>
        <v>3717374</v>
      </c>
      <c r="X7" s="235"/>
    </row>
    <row r="8" spans="1:24" s="234" customFormat="1" x14ac:dyDescent="0.25">
      <c r="A8" s="243" t="s">
        <v>359</v>
      </c>
      <c r="B8" s="44" t="s">
        <v>205</v>
      </c>
      <c r="C8" s="45" t="s">
        <v>234</v>
      </c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146">
        <v>785000</v>
      </c>
      <c r="Q8" s="146">
        <v>774308</v>
      </c>
      <c r="R8" s="146"/>
      <c r="S8" s="146"/>
      <c r="T8" s="46">
        <f t="shared" ref="T8:T17" si="3">D8+F8+H8+J8+L8+N8+P8</f>
        <v>785000</v>
      </c>
      <c r="U8" s="46">
        <f t="shared" ref="U8:U17" si="4">E8+G8+I8+K8+M8+O8+Q8</f>
        <v>774308</v>
      </c>
      <c r="V8" s="211">
        <f t="shared" si="2"/>
        <v>774308</v>
      </c>
      <c r="X8" s="235"/>
    </row>
    <row r="9" spans="1:24" s="234" customFormat="1" x14ac:dyDescent="0.25">
      <c r="A9" s="243" t="s">
        <v>360</v>
      </c>
      <c r="B9" s="44" t="s">
        <v>207</v>
      </c>
      <c r="C9" s="45" t="s">
        <v>235</v>
      </c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146">
        <v>3510968</v>
      </c>
      <c r="Q9" s="146">
        <v>2900509</v>
      </c>
      <c r="R9" s="146"/>
      <c r="S9" s="146"/>
      <c r="T9" s="46">
        <f t="shared" si="3"/>
        <v>3510968</v>
      </c>
      <c r="U9" s="46">
        <f t="shared" si="4"/>
        <v>2900509</v>
      </c>
      <c r="V9" s="211">
        <f t="shared" si="2"/>
        <v>2900509</v>
      </c>
      <c r="X9" s="235"/>
    </row>
    <row r="10" spans="1:24" s="234" customFormat="1" x14ac:dyDescent="0.25">
      <c r="A10" s="243" t="s">
        <v>361</v>
      </c>
      <c r="B10" s="44" t="s">
        <v>205</v>
      </c>
      <c r="C10" s="45" t="s">
        <v>236</v>
      </c>
      <c r="D10" s="210">
        <v>1030672</v>
      </c>
      <c r="E10" s="210">
        <v>609785</v>
      </c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146">
        <v>0</v>
      </c>
      <c r="Q10" s="146">
        <v>0</v>
      </c>
      <c r="R10" s="146"/>
      <c r="S10" s="146"/>
      <c r="T10" s="46">
        <f t="shared" si="3"/>
        <v>1030672</v>
      </c>
      <c r="U10" s="46">
        <f t="shared" si="4"/>
        <v>609785</v>
      </c>
      <c r="V10" s="211">
        <f t="shared" si="2"/>
        <v>609785</v>
      </c>
      <c r="X10" s="235"/>
    </row>
    <row r="11" spans="1:24" s="234" customFormat="1" x14ac:dyDescent="0.25">
      <c r="A11" s="243" t="s">
        <v>362</v>
      </c>
      <c r="B11" s="44" t="s">
        <v>205</v>
      </c>
      <c r="C11" s="45" t="s">
        <v>237</v>
      </c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146">
        <v>1800000</v>
      </c>
      <c r="Q11" s="146">
        <v>1621151</v>
      </c>
      <c r="R11" s="146"/>
      <c r="S11" s="146"/>
      <c r="T11" s="46">
        <f t="shared" si="3"/>
        <v>1800000</v>
      </c>
      <c r="U11" s="46">
        <f t="shared" si="4"/>
        <v>1621151</v>
      </c>
      <c r="V11" s="211">
        <f t="shared" si="2"/>
        <v>1621151</v>
      </c>
      <c r="X11" s="235"/>
    </row>
    <row r="12" spans="1:24" s="234" customFormat="1" x14ac:dyDescent="0.25">
      <c r="A12" s="243" t="s">
        <v>363</v>
      </c>
      <c r="B12" s="44" t="s">
        <v>207</v>
      </c>
      <c r="C12" s="45" t="s">
        <v>238</v>
      </c>
      <c r="D12" s="146">
        <v>34144139</v>
      </c>
      <c r="E12" s="146">
        <v>38264464</v>
      </c>
      <c r="F12" s="146"/>
      <c r="G12" s="146"/>
      <c r="H12" s="210"/>
      <c r="I12" s="210"/>
      <c r="J12" s="210"/>
      <c r="K12" s="210"/>
      <c r="L12" s="210"/>
      <c r="M12" s="210"/>
      <c r="N12" s="210"/>
      <c r="O12" s="210"/>
      <c r="P12" s="146">
        <f>197537793-D12</f>
        <v>163393654</v>
      </c>
      <c r="Q12" s="146">
        <v>149346557</v>
      </c>
      <c r="R12" s="146"/>
      <c r="S12" s="146">
        <v>449264</v>
      </c>
      <c r="T12" s="46">
        <f>D12+F12+H12+J12+L12+N12+P12</f>
        <v>197537793</v>
      </c>
      <c r="U12" s="46">
        <f t="shared" si="4"/>
        <v>187611021</v>
      </c>
      <c r="V12" s="211">
        <f>E12+G12+I12+K12+M12+O12+Q12+S12</f>
        <v>188060285</v>
      </c>
      <c r="X12" s="235"/>
    </row>
    <row r="13" spans="1:24" s="234" customFormat="1" x14ac:dyDescent="0.25">
      <c r="A13" s="243" t="s">
        <v>364</v>
      </c>
      <c r="B13" s="44" t="s">
        <v>205</v>
      </c>
      <c r="C13" s="45" t="s">
        <v>239</v>
      </c>
      <c r="D13" s="210"/>
      <c r="E13" s="210">
        <v>995120</v>
      </c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146">
        <v>21201131</v>
      </c>
      <c r="Q13" s="146">
        <v>21470914</v>
      </c>
      <c r="R13" s="146"/>
      <c r="S13" s="146"/>
      <c r="T13" s="46">
        <f t="shared" si="3"/>
        <v>21201131</v>
      </c>
      <c r="U13" s="46">
        <f t="shared" si="4"/>
        <v>22466034</v>
      </c>
      <c r="V13" s="211">
        <f t="shared" si="2"/>
        <v>22466034</v>
      </c>
      <c r="X13" s="235"/>
    </row>
    <row r="14" spans="1:24" s="234" customFormat="1" x14ac:dyDescent="0.25">
      <c r="A14" s="243" t="s">
        <v>365</v>
      </c>
      <c r="B14" s="44" t="s">
        <v>205</v>
      </c>
      <c r="C14" s="45" t="s">
        <v>498</v>
      </c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146">
        <v>9104168</v>
      </c>
      <c r="Q14" s="146">
        <v>8672363</v>
      </c>
      <c r="R14" s="146"/>
      <c r="S14" s="146"/>
      <c r="T14" s="46">
        <f t="shared" ref="T14" si="5">D14+F14+H14+J14+L14+N14+P14</f>
        <v>9104168</v>
      </c>
      <c r="U14" s="46">
        <f t="shared" ref="U14" si="6">E14+G14+I14+K14+M14+O14+Q14</f>
        <v>8672363</v>
      </c>
      <c r="V14" s="211">
        <f t="shared" ref="V14" si="7">E14+G14+I14+K14+M14+O14+Q14+S14</f>
        <v>8672363</v>
      </c>
      <c r="X14" s="235"/>
    </row>
    <row r="15" spans="1:24" s="234" customFormat="1" x14ac:dyDescent="0.25">
      <c r="A15" s="243" t="s">
        <v>366</v>
      </c>
      <c r="B15" s="44" t="s">
        <v>205</v>
      </c>
      <c r="C15" s="45" t="s">
        <v>276</v>
      </c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146">
        <v>17209345</v>
      </c>
      <c r="Q15" s="146">
        <v>21970689</v>
      </c>
      <c r="R15" s="146"/>
      <c r="S15" s="146"/>
      <c r="T15" s="46">
        <f t="shared" si="3"/>
        <v>17209345</v>
      </c>
      <c r="U15" s="46">
        <f t="shared" si="4"/>
        <v>21970689</v>
      </c>
      <c r="V15" s="211">
        <f t="shared" si="2"/>
        <v>21970689</v>
      </c>
      <c r="X15" s="235"/>
    </row>
    <row r="16" spans="1:24" s="234" customFormat="1" x14ac:dyDescent="0.25">
      <c r="A16" s="243" t="s">
        <v>367</v>
      </c>
      <c r="B16" s="44" t="s">
        <v>205</v>
      </c>
      <c r="C16" s="45" t="s">
        <v>240</v>
      </c>
      <c r="D16" s="146">
        <v>3966000</v>
      </c>
      <c r="E16" s="146">
        <v>3553395</v>
      </c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146">
        <f>13239627-D16</f>
        <v>9273627</v>
      </c>
      <c r="Q16" s="146">
        <v>5847873</v>
      </c>
      <c r="R16" s="146"/>
      <c r="S16" s="146"/>
      <c r="T16" s="46">
        <f t="shared" si="3"/>
        <v>13239627</v>
      </c>
      <c r="U16" s="46">
        <f t="shared" si="4"/>
        <v>9401268</v>
      </c>
      <c r="V16" s="211">
        <f t="shared" si="2"/>
        <v>9401268</v>
      </c>
      <c r="X16" s="235"/>
    </row>
    <row r="17" spans="1:24" s="234" customFormat="1" x14ac:dyDescent="0.25">
      <c r="A17" s="243" t="s">
        <v>368</v>
      </c>
      <c r="B17" s="44" t="s">
        <v>205</v>
      </c>
      <c r="C17" s="45" t="s">
        <v>241</v>
      </c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146">
        <v>19734174</v>
      </c>
      <c r="Q17" s="146">
        <v>20191798</v>
      </c>
      <c r="R17" s="146"/>
      <c r="S17" s="146"/>
      <c r="T17" s="46">
        <f t="shared" si="3"/>
        <v>19734174</v>
      </c>
      <c r="U17" s="46">
        <f t="shared" si="4"/>
        <v>20191798</v>
      </c>
      <c r="V17" s="211">
        <f t="shared" si="2"/>
        <v>20191798</v>
      </c>
      <c r="X17" s="235"/>
    </row>
    <row r="18" spans="1:24" s="234" customFormat="1" ht="15.75" x14ac:dyDescent="0.25">
      <c r="A18" s="243" t="s">
        <v>369</v>
      </c>
      <c r="B18" s="44"/>
      <c r="C18" s="55" t="s">
        <v>227</v>
      </c>
      <c r="D18" s="46">
        <f>SUM(D6:D17)</f>
        <v>39150811</v>
      </c>
      <c r="E18" s="46">
        <f>SUM(E6:E17)</f>
        <v>43422764</v>
      </c>
      <c r="F18" s="46">
        <f t="shared" ref="F18:S18" si="8">SUM(F7:F17)</f>
        <v>0</v>
      </c>
      <c r="G18" s="46">
        <f t="shared" si="8"/>
        <v>0</v>
      </c>
      <c r="H18" s="46">
        <f t="shared" si="8"/>
        <v>0</v>
      </c>
      <c r="I18" s="46">
        <f t="shared" si="8"/>
        <v>0</v>
      </c>
      <c r="J18" s="46">
        <f t="shared" si="8"/>
        <v>0</v>
      </c>
      <c r="K18" s="46">
        <f t="shared" si="8"/>
        <v>0</v>
      </c>
      <c r="L18" s="46">
        <f t="shared" si="8"/>
        <v>0</v>
      </c>
      <c r="M18" s="46">
        <f t="shared" si="8"/>
        <v>0</v>
      </c>
      <c r="N18" s="46">
        <f t="shared" si="8"/>
        <v>0</v>
      </c>
      <c r="O18" s="46">
        <f t="shared" si="8"/>
        <v>0</v>
      </c>
      <c r="P18" s="46">
        <f t="shared" si="8"/>
        <v>248790567</v>
      </c>
      <c r="Q18" s="46">
        <f t="shared" si="8"/>
        <v>236513536</v>
      </c>
      <c r="R18" s="46">
        <f t="shared" si="8"/>
        <v>0</v>
      </c>
      <c r="S18" s="46">
        <f t="shared" si="8"/>
        <v>449264</v>
      </c>
      <c r="T18" s="46">
        <f t="shared" ref="T18:U18" si="9">SUM(T6:T17)</f>
        <v>287941378</v>
      </c>
      <c r="U18" s="46">
        <f t="shared" si="9"/>
        <v>279936300</v>
      </c>
      <c r="V18" s="46">
        <f>SUM(V6:V17)</f>
        <v>280385564</v>
      </c>
      <c r="W18" s="235"/>
      <c r="X18" s="235"/>
    </row>
    <row r="19" spans="1:24" s="234" customFormat="1" x14ac:dyDescent="0.25">
      <c r="A19" s="243" t="s">
        <v>499</v>
      </c>
      <c r="B19" s="247"/>
      <c r="C19" s="60" t="s">
        <v>215</v>
      </c>
      <c r="D19" s="109">
        <f>D17+D16+D15+D13+D11+D10+D8+D7</f>
        <v>4996672</v>
      </c>
      <c r="E19" s="109">
        <f t="shared" ref="E19:V19" si="10">E17+E16+E15+E13+E11+E10+E8+E7</f>
        <v>5158300</v>
      </c>
      <c r="F19" s="109">
        <f t="shared" si="10"/>
        <v>0</v>
      </c>
      <c r="G19" s="109">
        <f t="shared" si="10"/>
        <v>0</v>
      </c>
      <c r="H19" s="109">
        <f t="shared" si="10"/>
        <v>0</v>
      </c>
      <c r="I19" s="109">
        <f t="shared" si="10"/>
        <v>0</v>
      </c>
      <c r="J19" s="109">
        <f t="shared" si="10"/>
        <v>0</v>
      </c>
      <c r="K19" s="109">
        <f t="shared" si="10"/>
        <v>0</v>
      </c>
      <c r="L19" s="109">
        <f t="shared" si="10"/>
        <v>0</v>
      </c>
      <c r="M19" s="109">
        <f t="shared" si="10"/>
        <v>0</v>
      </c>
      <c r="N19" s="109">
        <f t="shared" si="10"/>
        <v>0</v>
      </c>
      <c r="O19" s="109">
        <f t="shared" si="10"/>
        <v>0</v>
      </c>
      <c r="P19" s="109">
        <f>P17+P16+P15+P13+P11+P10+P8+P7+P14</f>
        <v>81885945</v>
      </c>
      <c r="Q19" s="109">
        <f>Q17+Q16+Q15+Q13+Q11+Q10+Q8+Q7+Q14</f>
        <v>84266470</v>
      </c>
      <c r="R19" s="109">
        <f t="shared" si="10"/>
        <v>0</v>
      </c>
      <c r="S19" s="109">
        <f t="shared" si="10"/>
        <v>0</v>
      </c>
      <c r="T19" s="109">
        <f t="shared" si="10"/>
        <v>77778449</v>
      </c>
      <c r="U19" s="109">
        <f t="shared" si="10"/>
        <v>80752407</v>
      </c>
      <c r="V19" s="109">
        <f t="shared" si="10"/>
        <v>80752407</v>
      </c>
      <c r="W19" s="235"/>
    </row>
    <row r="20" spans="1:24" s="234" customFormat="1" x14ac:dyDescent="0.25">
      <c r="A20" s="243" t="s">
        <v>500</v>
      </c>
      <c r="B20" s="247"/>
      <c r="C20" s="60" t="s">
        <v>216</v>
      </c>
      <c r="D20" s="109">
        <f>D12+D9+D6</f>
        <v>34154139</v>
      </c>
      <c r="E20" s="109">
        <f t="shared" ref="E20:V20" si="11">E12+E9+E6</f>
        <v>38264464</v>
      </c>
      <c r="F20" s="109">
        <f t="shared" si="11"/>
        <v>0</v>
      </c>
      <c r="G20" s="109">
        <f t="shared" si="11"/>
        <v>0</v>
      </c>
      <c r="H20" s="109">
        <f t="shared" si="11"/>
        <v>0</v>
      </c>
      <c r="I20" s="109">
        <f t="shared" si="11"/>
        <v>0</v>
      </c>
      <c r="J20" s="109">
        <f t="shared" si="11"/>
        <v>0</v>
      </c>
      <c r="K20" s="109">
        <f t="shared" si="11"/>
        <v>0</v>
      </c>
      <c r="L20" s="109">
        <f t="shared" si="11"/>
        <v>0</v>
      </c>
      <c r="M20" s="109">
        <f t="shared" si="11"/>
        <v>0</v>
      </c>
      <c r="N20" s="109">
        <f t="shared" si="11"/>
        <v>0</v>
      </c>
      <c r="O20" s="109">
        <f t="shared" si="11"/>
        <v>0</v>
      </c>
      <c r="P20" s="109">
        <f t="shared" si="11"/>
        <v>166904622</v>
      </c>
      <c r="Q20" s="109">
        <f t="shared" si="11"/>
        <v>152247066</v>
      </c>
      <c r="R20" s="109">
        <f t="shared" si="11"/>
        <v>0</v>
      </c>
      <c r="S20" s="109">
        <f t="shared" si="11"/>
        <v>449264</v>
      </c>
      <c r="T20" s="109">
        <f t="shared" si="11"/>
        <v>201058761</v>
      </c>
      <c r="U20" s="109">
        <f t="shared" si="11"/>
        <v>190511530</v>
      </c>
      <c r="V20" s="109">
        <f t="shared" si="11"/>
        <v>190960794</v>
      </c>
    </row>
    <row r="21" spans="1:24" x14ac:dyDescent="0.25">
      <c r="Q21" s="98"/>
    </row>
    <row r="22" spans="1:24" x14ac:dyDescent="0.25">
      <c r="D22" s="98"/>
      <c r="E22" s="98"/>
      <c r="Q22" s="98"/>
      <c r="T22" s="98"/>
    </row>
    <row r="23" spans="1:24" x14ac:dyDescent="0.25">
      <c r="Q23" s="98"/>
      <c r="T23" s="98"/>
    </row>
  </sheetData>
  <mergeCells count="19">
    <mergeCell ref="C2:V2"/>
    <mergeCell ref="R4:S4"/>
    <mergeCell ref="D4:E4"/>
    <mergeCell ref="F4:G4"/>
    <mergeCell ref="H4:I4"/>
    <mergeCell ref="J4:K4"/>
    <mergeCell ref="L4:M4"/>
    <mergeCell ref="D3:E3"/>
    <mergeCell ref="F3:G3"/>
    <mergeCell ref="H3:I3"/>
    <mergeCell ref="J3:K3"/>
    <mergeCell ref="L3:M3"/>
    <mergeCell ref="N3:O3"/>
    <mergeCell ref="P3:Q3"/>
    <mergeCell ref="R3:S3"/>
    <mergeCell ref="T3:V3"/>
    <mergeCell ref="N4:O4"/>
    <mergeCell ref="P4:Q4"/>
    <mergeCell ref="T4:V4"/>
  </mergeCells>
  <printOptions horizontalCentered="1"/>
  <pageMargins left="0.70866141732283472" right="0.1640625" top="0.74803149606299213" bottom="0.74803149606299213" header="0.31496062992125984" footer="0.31496062992125984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</sheetPr>
  <dimension ref="A1:S17"/>
  <sheetViews>
    <sheetView view="pageBreakPreview" zoomScaleNormal="100" zoomScaleSheetLayoutView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K13" sqref="K13"/>
    </sheetView>
  </sheetViews>
  <sheetFormatPr defaultRowHeight="15" x14ac:dyDescent="0.25"/>
  <cols>
    <col min="1" max="1" width="5.28515625" style="96" customWidth="1"/>
    <col min="2" max="2" width="10" style="96" customWidth="1"/>
    <col min="3" max="3" width="35.140625" style="96" customWidth="1"/>
    <col min="4" max="5" width="10.7109375" style="96" customWidth="1"/>
    <col min="6" max="6" width="12.7109375" style="96" customWidth="1"/>
    <col min="7" max="7" width="10.28515625" style="96" customWidth="1"/>
    <col min="8" max="9" width="11.7109375" style="96" customWidth="1"/>
    <col min="10" max="10" width="11.140625" style="96" customWidth="1"/>
    <col min="11" max="11" width="10.5703125" style="96" customWidth="1"/>
    <col min="12" max="12" width="11" style="96" customWidth="1"/>
    <col min="13" max="13" width="9.7109375" style="96" customWidth="1"/>
    <col min="14" max="14" width="11.140625" style="96" customWidth="1"/>
    <col min="15" max="15" width="10.85546875" style="96" customWidth="1"/>
    <col min="16" max="16" width="12.42578125" style="96" customWidth="1"/>
    <col min="17" max="17" width="14.140625" style="96" customWidth="1"/>
    <col min="18" max="19" width="12.42578125" style="96" bestFit="1" customWidth="1"/>
    <col min="20" max="16384" width="9.140625" style="96"/>
  </cols>
  <sheetData>
    <row r="1" spans="1:19" x14ac:dyDescent="0.25">
      <c r="L1" s="389" t="s">
        <v>614</v>
      </c>
      <c r="M1" s="340"/>
      <c r="N1" s="341"/>
      <c r="O1" s="341"/>
      <c r="P1" s="341"/>
      <c r="Q1" s="341"/>
      <c r="R1" s="341"/>
    </row>
    <row r="2" spans="1:19" ht="54.75" customHeight="1" x14ac:dyDescent="0.25">
      <c r="A2" s="104"/>
      <c r="B2" s="104"/>
      <c r="C2" s="332" t="s">
        <v>544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</row>
    <row r="3" spans="1:19" ht="54.75" customHeight="1" x14ac:dyDescent="0.3">
      <c r="A3" s="100" t="s">
        <v>147</v>
      </c>
      <c r="B3" s="100"/>
      <c r="C3" s="169" t="s">
        <v>170</v>
      </c>
      <c r="D3" s="338" t="s">
        <v>148</v>
      </c>
      <c r="E3" s="338"/>
      <c r="F3" s="338" t="s">
        <v>149</v>
      </c>
      <c r="G3" s="338"/>
      <c r="H3" s="338" t="s">
        <v>150</v>
      </c>
      <c r="I3" s="338"/>
      <c r="J3" s="338" t="s">
        <v>188</v>
      </c>
      <c r="K3" s="338"/>
      <c r="L3" s="338" t="s">
        <v>194</v>
      </c>
      <c r="M3" s="338"/>
      <c r="N3" s="338" t="s">
        <v>195</v>
      </c>
      <c r="O3" s="338"/>
      <c r="P3" s="338" t="s">
        <v>196</v>
      </c>
      <c r="Q3" s="338"/>
      <c r="R3" s="338" t="s">
        <v>197</v>
      </c>
      <c r="S3" s="338"/>
    </row>
    <row r="4" spans="1:19" ht="84" customHeight="1" x14ac:dyDescent="0.25">
      <c r="A4" s="165" t="s">
        <v>355</v>
      </c>
      <c r="B4" s="166" t="s">
        <v>232</v>
      </c>
      <c r="C4" s="91" t="s">
        <v>199</v>
      </c>
      <c r="D4" s="331" t="s">
        <v>158</v>
      </c>
      <c r="E4" s="331"/>
      <c r="F4" s="331" t="s">
        <v>157</v>
      </c>
      <c r="G4" s="331"/>
      <c r="H4" s="331" t="s">
        <v>201</v>
      </c>
      <c r="I4" s="331"/>
      <c r="J4" s="331" t="s">
        <v>202</v>
      </c>
      <c r="K4" s="331"/>
      <c r="L4" s="331" t="s">
        <v>203</v>
      </c>
      <c r="M4" s="331"/>
      <c r="N4" s="331" t="s">
        <v>272</v>
      </c>
      <c r="O4" s="331"/>
      <c r="P4" s="331" t="s">
        <v>224</v>
      </c>
      <c r="Q4" s="331"/>
      <c r="R4" s="331" t="s">
        <v>204</v>
      </c>
      <c r="S4" s="331"/>
    </row>
    <row r="5" spans="1:19" s="102" customFormat="1" ht="42.75" x14ac:dyDescent="0.25">
      <c r="A5" s="165" t="s">
        <v>356</v>
      </c>
      <c r="B5" s="167"/>
      <c r="C5" s="91" t="s">
        <v>225</v>
      </c>
      <c r="D5" s="92" t="s">
        <v>539</v>
      </c>
      <c r="E5" s="56" t="s">
        <v>540</v>
      </c>
      <c r="F5" s="92" t="s">
        <v>539</v>
      </c>
      <c r="G5" s="56" t="s">
        <v>540</v>
      </c>
      <c r="H5" s="92" t="s">
        <v>539</v>
      </c>
      <c r="I5" s="56" t="s">
        <v>540</v>
      </c>
      <c r="J5" s="92" t="s">
        <v>539</v>
      </c>
      <c r="K5" s="56" t="s">
        <v>540</v>
      </c>
      <c r="L5" s="92" t="s">
        <v>539</v>
      </c>
      <c r="M5" s="56" t="s">
        <v>540</v>
      </c>
      <c r="N5" s="92" t="s">
        <v>539</v>
      </c>
      <c r="O5" s="56" t="s">
        <v>540</v>
      </c>
      <c r="P5" s="92" t="s">
        <v>539</v>
      </c>
      <c r="Q5" s="56" t="s">
        <v>540</v>
      </c>
      <c r="R5" s="92" t="s">
        <v>539</v>
      </c>
      <c r="S5" s="56" t="s">
        <v>540</v>
      </c>
    </row>
    <row r="6" spans="1:19" x14ac:dyDescent="0.25">
      <c r="A6" s="165" t="s">
        <v>357</v>
      </c>
      <c r="B6" s="40" t="s">
        <v>205</v>
      </c>
      <c r="C6" s="40" t="s">
        <v>242</v>
      </c>
      <c r="D6" s="141">
        <v>10000</v>
      </c>
      <c r="E6" s="141">
        <v>6835</v>
      </c>
      <c r="F6" s="141"/>
      <c r="G6" s="141"/>
      <c r="H6" s="142"/>
      <c r="I6" s="142"/>
      <c r="J6" s="142"/>
      <c r="K6" s="142"/>
      <c r="L6" s="142"/>
      <c r="M6" s="142"/>
      <c r="N6" s="142"/>
      <c r="O6" s="142">
        <v>219375</v>
      </c>
      <c r="P6" s="143">
        <f>180489410</f>
        <v>180489410</v>
      </c>
      <c r="Q6" s="143">
        <v>194689226</v>
      </c>
      <c r="R6" s="137">
        <f>D6+F6+H6+J6+L6+N6+P6</f>
        <v>180499410</v>
      </c>
      <c r="S6" s="137">
        <f>E6+G6+I6+K6+M6+O6+Q6</f>
        <v>194915436</v>
      </c>
    </row>
    <row r="7" spans="1:19" x14ac:dyDescent="0.25">
      <c r="A7" s="165" t="s">
        <v>358</v>
      </c>
      <c r="B7" s="40" t="s">
        <v>205</v>
      </c>
      <c r="C7" s="40" t="s">
        <v>300</v>
      </c>
      <c r="D7" s="141"/>
      <c r="E7" s="141">
        <v>20</v>
      </c>
      <c r="F7" s="141"/>
      <c r="G7" s="141"/>
      <c r="H7" s="142"/>
      <c r="I7" s="142"/>
      <c r="J7" s="142"/>
      <c r="K7" s="142"/>
      <c r="L7" s="142"/>
      <c r="M7" s="142"/>
      <c r="N7" s="142"/>
      <c r="O7" s="142"/>
      <c r="P7" s="143">
        <v>21177417</v>
      </c>
      <c r="Q7" s="143">
        <v>37220783</v>
      </c>
      <c r="R7" s="137">
        <f>D7+F7+H7+J7+L7+N7+P7</f>
        <v>21177417</v>
      </c>
      <c r="S7" s="137">
        <f>E7+G7+I7+K7+M7+O7+Q7</f>
        <v>37220803</v>
      </c>
    </row>
    <row r="8" spans="1:19" s="102" customFormat="1" x14ac:dyDescent="0.25">
      <c r="A8" s="165" t="s">
        <v>359</v>
      </c>
      <c r="B8" s="168"/>
      <c r="C8" s="103" t="s">
        <v>227</v>
      </c>
      <c r="D8" s="144">
        <f>SUM(D6:D7)</f>
        <v>10000</v>
      </c>
      <c r="E8" s="144">
        <f t="shared" ref="E8:Q8" si="0">SUM(E6:E7)</f>
        <v>6855</v>
      </c>
      <c r="F8" s="144">
        <f t="shared" si="0"/>
        <v>0</v>
      </c>
      <c r="G8" s="144">
        <f t="shared" si="0"/>
        <v>0</v>
      </c>
      <c r="H8" s="144">
        <f t="shared" si="0"/>
        <v>0</v>
      </c>
      <c r="I8" s="144">
        <f t="shared" si="0"/>
        <v>0</v>
      </c>
      <c r="J8" s="144">
        <f t="shared" si="0"/>
        <v>0</v>
      </c>
      <c r="K8" s="144">
        <f t="shared" si="0"/>
        <v>0</v>
      </c>
      <c r="L8" s="144">
        <f t="shared" si="0"/>
        <v>0</v>
      </c>
      <c r="M8" s="144">
        <f t="shared" si="0"/>
        <v>0</v>
      </c>
      <c r="N8" s="144">
        <f t="shared" si="0"/>
        <v>0</v>
      </c>
      <c r="O8" s="144">
        <f t="shared" si="0"/>
        <v>219375</v>
      </c>
      <c r="P8" s="144">
        <f t="shared" si="0"/>
        <v>201666827</v>
      </c>
      <c r="Q8" s="144">
        <f t="shared" si="0"/>
        <v>231910009</v>
      </c>
      <c r="R8" s="137">
        <f t="shared" ref="R8" si="1">D8+F8+H8+J8+L8+N8+P8</f>
        <v>201676827</v>
      </c>
      <c r="S8" s="137">
        <f>E8+G8+I8+K8+M8+O8+Q8</f>
        <v>232136239</v>
      </c>
    </row>
    <row r="9" spans="1:19" x14ac:dyDescent="0.25">
      <c r="A9" s="165" t="s">
        <v>360</v>
      </c>
      <c r="B9" s="40"/>
      <c r="C9" s="40" t="s">
        <v>215</v>
      </c>
      <c r="D9" s="138">
        <f>SUMIF($B6:$B7,"kötelező",D6:D7)</f>
        <v>10000</v>
      </c>
      <c r="E9" s="138">
        <f t="shared" ref="E9:S9" si="2">SUMIF($B6:$B7,"kötelező",E6:E7)</f>
        <v>6855</v>
      </c>
      <c r="F9" s="138">
        <f t="shared" si="2"/>
        <v>0</v>
      </c>
      <c r="G9" s="138">
        <f t="shared" si="2"/>
        <v>0</v>
      </c>
      <c r="H9" s="138">
        <f t="shared" si="2"/>
        <v>0</v>
      </c>
      <c r="I9" s="138">
        <f t="shared" si="2"/>
        <v>0</v>
      </c>
      <c r="J9" s="138">
        <f t="shared" si="2"/>
        <v>0</v>
      </c>
      <c r="K9" s="138">
        <f t="shared" si="2"/>
        <v>0</v>
      </c>
      <c r="L9" s="138">
        <f t="shared" si="2"/>
        <v>0</v>
      </c>
      <c r="M9" s="138">
        <f t="shared" si="2"/>
        <v>0</v>
      </c>
      <c r="N9" s="138">
        <f t="shared" si="2"/>
        <v>0</v>
      </c>
      <c r="O9" s="138">
        <f t="shared" si="2"/>
        <v>219375</v>
      </c>
      <c r="P9" s="138">
        <f t="shared" si="2"/>
        <v>201666827</v>
      </c>
      <c r="Q9" s="138">
        <f t="shared" si="2"/>
        <v>231910009</v>
      </c>
      <c r="R9" s="138">
        <f t="shared" si="2"/>
        <v>201676827</v>
      </c>
      <c r="S9" s="138">
        <f t="shared" si="2"/>
        <v>232136239</v>
      </c>
    </row>
    <row r="10" spans="1:19" x14ac:dyDescent="0.25">
      <c r="A10" s="165" t="s">
        <v>361</v>
      </c>
      <c r="B10" s="40"/>
      <c r="C10" s="40" t="s">
        <v>216</v>
      </c>
      <c r="D10" s="138">
        <f>SUMIF($B6:$B7,"nem kötelező",D6:D7)</f>
        <v>0</v>
      </c>
      <c r="E10" s="138">
        <f t="shared" ref="E10:S10" si="3">SUMIF($B6:$B7,"nem kötelező",E6:E7)</f>
        <v>0</v>
      </c>
      <c r="F10" s="138">
        <f t="shared" si="3"/>
        <v>0</v>
      </c>
      <c r="G10" s="138">
        <f t="shared" si="3"/>
        <v>0</v>
      </c>
      <c r="H10" s="138">
        <f t="shared" si="3"/>
        <v>0</v>
      </c>
      <c r="I10" s="138">
        <f t="shared" si="3"/>
        <v>0</v>
      </c>
      <c r="J10" s="138">
        <f t="shared" si="3"/>
        <v>0</v>
      </c>
      <c r="K10" s="138">
        <f t="shared" si="3"/>
        <v>0</v>
      </c>
      <c r="L10" s="138">
        <f t="shared" si="3"/>
        <v>0</v>
      </c>
      <c r="M10" s="138">
        <f t="shared" si="3"/>
        <v>0</v>
      </c>
      <c r="N10" s="138">
        <f t="shared" si="3"/>
        <v>0</v>
      </c>
      <c r="O10" s="138">
        <f t="shared" si="3"/>
        <v>0</v>
      </c>
      <c r="P10" s="138">
        <f t="shared" si="3"/>
        <v>0</v>
      </c>
      <c r="Q10" s="138">
        <f t="shared" si="3"/>
        <v>0</v>
      </c>
      <c r="R10" s="138">
        <f t="shared" si="3"/>
        <v>0</v>
      </c>
      <c r="S10" s="138">
        <f t="shared" si="3"/>
        <v>0</v>
      </c>
    </row>
    <row r="11" spans="1:19" x14ac:dyDescent="0.25">
      <c r="P11" s="98"/>
      <c r="R11" s="98"/>
      <c r="S11" s="98"/>
    </row>
    <row r="17" spans="6:6" x14ac:dyDescent="0.25">
      <c r="F17" s="96" t="s">
        <v>243</v>
      </c>
    </row>
  </sheetData>
  <mergeCells count="18">
    <mergeCell ref="L4:M4"/>
    <mergeCell ref="N3:O3"/>
    <mergeCell ref="P3:Q3"/>
    <mergeCell ref="R3:S3"/>
    <mergeCell ref="C2:R2"/>
    <mergeCell ref="L1:R1"/>
    <mergeCell ref="N4:O4"/>
    <mergeCell ref="P4:Q4"/>
    <mergeCell ref="R4:S4"/>
    <mergeCell ref="D3:E3"/>
    <mergeCell ref="F3:G3"/>
    <mergeCell ref="H3:I3"/>
    <mergeCell ref="J3:K3"/>
    <mergeCell ref="L3:M3"/>
    <mergeCell ref="D4:E4"/>
    <mergeCell ref="F4:G4"/>
    <mergeCell ref="H4:I4"/>
    <mergeCell ref="J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59999389629810485"/>
    <pageSetUpPr fitToPage="1"/>
  </sheetPr>
  <dimension ref="A1:X13"/>
  <sheetViews>
    <sheetView zoomScaleNormal="100" workbookViewId="0">
      <pane xSplit="3" topLeftCell="D1" activePane="topRight" state="frozen"/>
      <selection activeCell="C1" sqref="C1"/>
      <selection pane="topRight" activeCell="R24" sqref="R24"/>
    </sheetView>
  </sheetViews>
  <sheetFormatPr defaultRowHeight="15" x14ac:dyDescent="0.25"/>
  <cols>
    <col min="1" max="1" width="7.5703125" style="96" customWidth="1"/>
    <col min="2" max="2" width="15.5703125" style="96" customWidth="1"/>
    <col min="3" max="3" width="28" style="96" customWidth="1"/>
    <col min="4" max="4" width="10.85546875" style="96" bestFit="1" customWidth="1"/>
    <col min="5" max="5" width="10.140625" style="96" bestFit="1" customWidth="1"/>
    <col min="6" max="6" width="10.5703125" style="96" bestFit="1" customWidth="1"/>
    <col min="7" max="7" width="11.5703125" style="96" customWidth="1"/>
    <col min="8" max="8" width="10.85546875" style="96" bestFit="1" customWidth="1"/>
    <col min="9" max="9" width="11.28515625" style="96" bestFit="1" customWidth="1"/>
    <col min="10" max="10" width="10.85546875" style="96" bestFit="1" customWidth="1"/>
    <col min="11" max="11" width="11.7109375" style="96" customWidth="1"/>
    <col min="12" max="12" width="10.5703125" style="96" bestFit="1" customWidth="1"/>
    <col min="13" max="13" width="12.85546875" style="96" customWidth="1"/>
    <col min="14" max="14" width="10.85546875" style="96" bestFit="1" customWidth="1"/>
    <col min="15" max="15" width="12.28515625" style="96" customWidth="1"/>
    <col min="16" max="17" width="11.28515625" style="96" bestFit="1" customWidth="1"/>
    <col min="18" max="19" width="11.7109375" style="96" bestFit="1" customWidth="1"/>
    <col min="20" max="20" width="12.140625" style="96" customWidth="1"/>
    <col min="21" max="21" width="0" style="98" hidden="1" customWidth="1"/>
    <col min="22" max="22" width="11.28515625" style="96" bestFit="1" customWidth="1"/>
    <col min="23" max="16384" width="9.140625" style="96"/>
  </cols>
  <sheetData>
    <row r="1" spans="1:24" x14ac:dyDescent="0.25">
      <c r="T1" s="97" t="s">
        <v>614</v>
      </c>
    </row>
    <row r="2" spans="1:24" x14ac:dyDescent="0.25">
      <c r="T2" s="97"/>
    </row>
    <row r="3" spans="1:24" ht="18.75" x14ac:dyDescent="0.25">
      <c r="D3" s="339" t="s">
        <v>548</v>
      </c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</row>
    <row r="4" spans="1:24" x14ac:dyDescent="0.25">
      <c r="N4" s="87"/>
      <c r="O4" s="87"/>
      <c r="P4" s="87"/>
      <c r="Q4" s="87"/>
      <c r="R4" s="87"/>
      <c r="S4" s="87"/>
    </row>
    <row r="5" spans="1:24" x14ac:dyDescent="0.25">
      <c r="A5" s="100" t="s">
        <v>147</v>
      </c>
      <c r="B5" s="100" t="s">
        <v>170</v>
      </c>
      <c r="C5" s="100" t="s">
        <v>148</v>
      </c>
      <c r="D5" s="345" t="s">
        <v>149</v>
      </c>
      <c r="E5" s="346"/>
      <c r="F5" s="345" t="s">
        <v>150</v>
      </c>
      <c r="G5" s="346"/>
      <c r="H5" s="345" t="s">
        <v>188</v>
      </c>
      <c r="I5" s="346"/>
      <c r="J5" s="345" t="s">
        <v>194</v>
      </c>
      <c r="K5" s="346"/>
      <c r="L5" s="345" t="s">
        <v>195</v>
      </c>
      <c r="M5" s="346"/>
      <c r="N5" s="345" t="s">
        <v>196</v>
      </c>
      <c r="O5" s="346"/>
      <c r="P5" s="345" t="s">
        <v>197</v>
      </c>
      <c r="Q5" s="346"/>
      <c r="R5" s="345" t="s">
        <v>244</v>
      </c>
      <c r="S5" s="346"/>
      <c r="T5" s="342" t="s">
        <v>229</v>
      </c>
      <c r="U5" s="343"/>
      <c r="V5" s="344"/>
    </row>
    <row r="6" spans="1:24" s="114" customFormat="1" ht="57" customHeight="1" x14ac:dyDescent="0.2">
      <c r="A6" s="174" t="s">
        <v>3</v>
      </c>
      <c r="B6" s="171" t="s">
        <v>232</v>
      </c>
      <c r="C6" s="113" t="s">
        <v>199</v>
      </c>
      <c r="D6" s="347" t="s">
        <v>158</v>
      </c>
      <c r="E6" s="348"/>
      <c r="F6" s="347" t="s">
        <v>157</v>
      </c>
      <c r="G6" s="348"/>
      <c r="H6" s="347" t="s">
        <v>201</v>
      </c>
      <c r="I6" s="348"/>
      <c r="J6" s="347" t="s">
        <v>202</v>
      </c>
      <c r="K6" s="348"/>
      <c r="L6" s="347" t="s">
        <v>203</v>
      </c>
      <c r="M6" s="348"/>
      <c r="N6" s="347" t="s">
        <v>223</v>
      </c>
      <c r="O6" s="348"/>
      <c r="P6" s="347" t="s">
        <v>298</v>
      </c>
      <c r="Q6" s="348"/>
      <c r="R6" s="347" t="s">
        <v>224</v>
      </c>
      <c r="S6" s="348"/>
      <c r="T6" s="349" t="s">
        <v>204</v>
      </c>
      <c r="U6" s="349"/>
      <c r="V6" s="349"/>
    </row>
    <row r="7" spans="1:24" ht="57" x14ac:dyDescent="0.25">
      <c r="A7" s="170" t="s">
        <v>5</v>
      </c>
      <c r="B7" s="172"/>
      <c r="C7" s="91" t="s">
        <v>225</v>
      </c>
      <c r="D7" s="92" t="s">
        <v>539</v>
      </c>
      <c r="E7" s="92" t="s">
        <v>540</v>
      </c>
      <c r="F7" s="56" t="s">
        <v>539</v>
      </c>
      <c r="G7" s="92" t="s">
        <v>540</v>
      </c>
      <c r="H7" s="56" t="s">
        <v>539</v>
      </c>
      <c r="I7" s="92" t="s">
        <v>540</v>
      </c>
      <c r="J7" s="56" t="s">
        <v>539</v>
      </c>
      <c r="K7" s="92" t="s">
        <v>540</v>
      </c>
      <c r="L7" s="56" t="s">
        <v>539</v>
      </c>
      <c r="M7" s="92" t="s">
        <v>540</v>
      </c>
      <c r="N7" s="56" t="s">
        <v>539</v>
      </c>
      <c r="O7" s="92" t="s">
        <v>540</v>
      </c>
      <c r="P7" s="56" t="s">
        <v>539</v>
      </c>
      <c r="Q7" s="92" t="s">
        <v>540</v>
      </c>
      <c r="R7" s="56" t="s">
        <v>539</v>
      </c>
      <c r="S7" s="92" t="s">
        <v>540</v>
      </c>
      <c r="T7" s="56" t="s">
        <v>539</v>
      </c>
      <c r="U7" s="92" t="s">
        <v>540</v>
      </c>
      <c r="V7" s="56" t="s">
        <v>539</v>
      </c>
    </row>
    <row r="8" spans="1:24" x14ac:dyDescent="0.25">
      <c r="A8" s="174" t="s">
        <v>15</v>
      </c>
      <c r="B8" s="58" t="s">
        <v>205</v>
      </c>
      <c r="C8" s="45" t="s">
        <v>274</v>
      </c>
      <c r="D8" s="139">
        <f>329000+3000000</f>
        <v>3329000</v>
      </c>
      <c r="E8" s="139">
        <v>355505</v>
      </c>
      <c r="F8" s="139"/>
      <c r="G8" s="139"/>
      <c r="H8" s="135"/>
      <c r="I8" s="135"/>
      <c r="J8" s="135"/>
      <c r="K8" s="135"/>
      <c r="L8" s="135"/>
      <c r="M8" s="135"/>
      <c r="N8" s="135"/>
      <c r="O8" s="135"/>
      <c r="P8" s="135"/>
      <c r="Q8" s="135">
        <v>215</v>
      </c>
      <c r="R8" s="136">
        <f>36094412+92000+1400000</f>
        <v>37586412</v>
      </c>
      <c r="S8" s="136">
        <v>40027086</v>
      </c>
      <c r="T8" s="137">
        <f>D8+F8+H8+J8+L8+N8+R8+P8</f>
        <v>40915412</v>
      </c>
      <c r="U8" s="99">
        <v>350</v>
      </c>
      <c r="V8" s="145">
        <f>E8+G8+I8+K8+M8+O8+S8+Q8</f>
        <v>40382806</v>
      </c>
    </row>
    <row r="9" spans="1:24" x14ac:dyDescent="0.25">
      <c r="A9" s="170" t="s">
        <v>20</v>
      </c>
      <c r="B9" s="58" t="s">
        <v>207</v>
      </c>
      <c r="C9" s="45" t="s">
        <v>493</v>
      </c>
      <c r="D9" s="139">
        <v>809000</v>
      </c>
      <c r="E9" s="139">
        <v>942000</v>
      </c>
      <c r="F9" s="139"/>
      <c r="G9" s="139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6">
        <v>5191000</v>
      </c>
      <c r="S9" s="136">
        <v>3445991</v>
      </c>
      <c r="T9" s="137">
        <f t="shared" ref="T9" si="0">D9+F9+H9+J9+L9+N9+R9+P9</f>
        <v>6000000</v>
      </c>
      <c r="U9" s="99"/>
      <c r="V9" s="145">
        <f t="shared" ref="V9" si="1">E9+G9+I9+K9+M9+O9+S9</f>
        <v>4387991</v>
      </c>
    </row>
    <row r="10" spans="1:24" ht="15.75" x14ac:dyDescent="0.25">
      <c r="A10" s="174" t="s">
        <v>29</v>
      </c>
      <c r="B10" s="162"/>
      <c r="C10" s="91" t="s">
        <v>227</v>
      </c>
      <c r="D10" s="137">
        <f t="shared" ref="D10:V10" si="2">SUM(D8:D9)</f>
        <v>4138000</v>
      </c>
      <c r="E10" s="137">
        <f t="shared" si="2"/>
        <v>1297505</v>
      </c>
      <c r="F10" s="137">
        <f t="shared" si="2"/>
        <v>0</v>
      </c>
      <c r="G10" s="137">
        <f t="shared" si="2"/>
        <v>0</v>
      </c>
      <c r="H10" s="137">
        <f t="shared" si="2"/>
        <v>0</v>
      </c>
      <c r="I10" s="137">
        <f t="shared" si="2"/>
        <v>0</v>
      </c>
      <c r="J10" s="137">
        <f t="shared" si="2"/>
        <v>0</v>
      </c>
      <c r="K10" s="137">
        <f t="shared" si="2"/>
        <v>0</v>
      </c>
      <c r="L10" s="137">
        <f t="shared" si="2"/>
        <v>0</v>
      </c>
      <c r="M10" s="137">
        <f t="shared" si="2"/>
        <v>0</v>
      </c>
      <c r="N10" s="137">
        <f t="shared" si="2"/>
        <v>0</v>
      </c>
      <c r="O10" s="137">
        <f t="shared" si="2"/>
        <v>0</v>
      </c>
      <c r="P10" s="137">
        <f t="shared" si="2"/>
        <v>0</v>
      </c>
      <c r="Q10" s="137">
        <f t="shared" si="2"/>
        <v>215</v>
      </c>
      <c r="R10" s="137">
        <f t="shared" si="2"/>
        <v>42777412</v>
      </c>
      <c r="S10" s="137">
        <f t="shared" si="2"/>
        <v>43473077</v>
      </c>
      <c r="T10" s="137">
        <f t="shared" si="2"/>
        <v>46915412</v>
      </c>
      <c r="U10" s="137">
        <f t="shared" si="2"/>
        <v>350</v>
      </c>
      <c r="V10" s="137">
        <f t="shared" si="2"/>
        <v>44770797</v>
      </c>
      <c r="W10" s="98"/>
      <c r="X10" s="98"/>
    </row>
    <row r="11" spans="1:24" x14ac:dyDescent="0.25">
      <c r="A11" s="170" t="s">
        <v>51</v>
      </c>
      <c r="B11" s="173"/>
      <c r="C11" s="40" t="s">
        <v>215</v>
      </c>
      <c r="D11" s="138">
        <f t="shared" ref="D11:V11" si="3">SUMIF($B8:$B9,"kötelező",D8:D9)</f>
        <v>3329000</v>
      </c>
      <c r="E11" s="138">
        <f t="shared" si="3"/>
        <v>355505</v>
      </c>
      <c r="F11" s="138">
        <f t="shared" si="3"/>
        <v>0</v>
      </c>
      <c r="G11" s="138">
        <f t="shared" si="3"/>
        <v>0</v>
      </c>
      <c r="H11" s="138">
        <f t="shared" si="3"/>
        <v>0</v>
      </c>
      <c r="I11" s="138">
        <f t="shared" si="3"/>
        <v>0</v>
      </c>
      <c r="J11" s="138">
        <f t="shared" si="3"/>
        <v>0</v>
      </c>
      <c r="K11" s="138">
        <f t="shared" si="3"/>
        <v>0</v>
      </c>
      <c r="L11" s="138">
        <f t="shared" si="3"/>
        <v>0</v>
      </c>
      <c r="M11" s="138">
        <f t="shared" si="3"/>
        <v>0</v>
      </c>
      <c r="N11" s="138">
        <f t="shared" si="3"/>
        <v>0</v>
      </c>
      <c r="O11" s="138">
        <f t="shared" si="3"/>
        <v>0</v>
      </c>
      <c r="P11" s="138">
        <f t="shared" si="3"/>
        <v>0</v>
      </c>
      <c r="Q11" s="138">
        <f t="shared" si="3"/>
        <v>215</v>
      </c>
      <c r="R11" s="138">
        <f t="shared" si="3"/>
        <v>37586412</v>
      </c>
      <c r="S11" s="138">
        <f t="shared" si="3"/>
        <v>40027086</v>
      </c>
      <c r="T11" s="138">
        <f t="shared" si="3"/>
        <v>40915412</v>
      </c>
      <c r="U11" s="138">
        <f t="shared" si="3"/>
        <v>350</v>
      </c>
      <c r="V11" s="138">
        <f t="shared" si="3"/>
        <v>40382806</v>
      </c>
    </row>
    <row r="12" spans="1:24" x14ac:dyDescent="0.25">
      <c r="A12" s="174" t="s">
        <v>53</v>
      </c>
      <c r="B12" s="173"/>
      <c r="C12" s="40" t="s">
        <v>216</v>
      </c>
      <c r="D12" s="138">
        <f t="shared" ref="D12:V12" si="4">SUMIF($B8:$B9,"nem kötelező",D8:D9)</f>
        <v>809000</v>
      </c>
      <c r="E12" s="138">
        <f t="shared" si="4"/>
        <v>942000</v>
      </c>
      <c r="F12" s="138">
        <f t="shared" si="4"/>
        <v>0</v>
      </c>
      <c r="G12" s="138">
        <f t="shared" si="4"/>
        <v>0</v>
      </c>
      <c r="H12" s="138">
        <f t="shared" si="4"/>
        <v>0</v>
      </c>
      <c r="I12" s="138">
        <f t="shared" si="4"/>
        <v>0</v>
      </c>
      <c r="J12" s="138">
        <f t="shared" si="4"/>
        <v>0</v>
      </c>
      <c r="K12" s="138">
        <f t="shared" si="4"/>
        <v>0</v>
      </c>
      <c r="L12" s="138">
        <f t="shared" si="4"/>
        <v>0</v>
      </c>
      <c r="M12" s="138">
        <f t="shared" si="4"/>
        <v>0</v>
      </c>
      <c r="N12" s="138">
        <f t="shared" si="4"/>
        <v>0</v>
      </c>
      <c r="O12" s="138">
        <f t="shared" si="4"/>
        <v>0</v>
      </c>
      <c r="P12" s="138">
        <f t="shared" si="4"/>
        <v>0</v>
      </c>
      <c r="Q12" s="138">
        <f t="shared" si="4"/>
        <v>0</v>
      </c>
      <c r="R12" s="138">
        <f t="shared" si="4"/>
        <v>5191000</v>
      </c>
      <c r="S12" s="138">
        <f t="shared" si="4"/>
        <v>3445991</v>
      </c>
      <c r="T12" s="138">
        <f t="shared" si="4"/>
        <v>6000000</v>
      </c>
      <c r="U12" s="138">
        <f t="shared" si="4"/>
        <v>0</v>
      </c>
      <c r="V12" s="138">
        <f t="shared" si="4"/>
        <v>4387991</v>
      </c>
    </row>
    <row r="13" spans="1:24" x14ac:dyDescent="0.25">
      <c r="S13" s="98"/>
      <c r="V13" s="98"/>
    </row>
  </sheetData>
  <mergeCells count="19">
    <mergeCell ref="D3:X3"/>
    <mergeCell ref="D6:E6"/>
    <mergeCell ref="F6:G6"/>
    <mergeCell ref="H6:I6"/>
    <mergeCell ref="J6:K6"/>
    <mergeCell ref="L6:M6"/>
    <mergeCell ref="N6:O6"/>
    <mergeCell ref="R6:S6"/>
    <mergeCell ref="T6:V6"/>
    <mergeCell ref="P6:Q6"/>
    <mergeCell ref="N5:O5"/>
    <mergeCell ref="P5:Q5"/>
    <mergeCell ref="R5:S5"/>
    <mergeCell ref="T5:V5"/>
    <mergeCell ref="D5:E5"/>
    <mergeCell ref="F5:G5"/>
    <mergeCell ref="H5:I5"/>
    <mergeCell ref="J5:K5"/>
    <mergeCell ref="L5:M5"/>
  </mergeCells>
  <printOptions horizontalCentered="1"/>
  <pageMargins left="0.70866141732283472" right="0.15748031496062992" top="0.74803149606299213" bottom="0.74803149606299213" header="0.31496062992125984" footer="0.31496062992125984"/>
  <pageSetup paperSize="8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AJ95"/>
  <sheetViews>
    <sheetView view="pageBreakPreview" zoomScale="90" zoomScaleNormal="100" zoomScaleSheetLayoutView="90" workbookViewId="0">
      <pane xSplit="3" ySplit="5" topLeftCell="T53" activePane="bottomRight" state="frozen"/>
      <selection pane="topRight" activeCell="D1" sqref="D1"/>
      <selection pane="bottomLeft" activeCell="A6" sqref="A6"/>
      <selection pane="bottomRight" activeCell="X1" sqref="X1:AD1"/>
    </sheetView>
  </sheetViews>
  <sheetFormatPr defaultRowHeight="15" x14ac:dyDescent="0.25"/>
  <cols>
    <col min="1" max="1" width="6" style="47" customWidth="1"/>
    <col min="2" max="2" width="15" style="47" customWidth="1"/>
    <col min="3" max="3" width="64.85546875" style="47" customWidth="1"/>
    <col min="4" max="4" width="12.42578125" style="47" bestFit="1" customWidth="1"/>
    <col min="5" max="5" width="12.42578125" style="47" customWidth="1"/>
    <col min="6" max="7" width="13.28515625" style="47" customWidth="1"/>
    <col min="8" max="8" width="12.85546875" style="47" customWidth="1"/>
    <col min="9" max="9" width="13.42578125" style="47" customWidth="1"/>
    <col min="10" max="10" width="11.7109375" style="47" customWidth="1"/>
    <col min="11" max="11" width="12.140625" style="47" customWidth="1"/>
    <col min="12" max="12" width="12.28515625" style="47" customWidth="1"/>
    <col min="13" max="13" width="12.42578125" style="47" customWidth="1"/>
    <col min="14" max="15" width="12.28515625" style="47" customWidth="1"/>
    <col min="16" max="19" width="13.7109375" style="47" customWidth="1"/>
    <col min="20" max="21" width="14.85546875" style="47" customWidth="1"/>
    <col min="22" max="25" width="12.28515625" style="47" customWidth="1"/>
    <col min="26" max="27" width="13" style="47" customWidth="1"/>
    <col min="28" max="28" width="14.42578125" style="47" customWidth="1"/>
    <col min="29" max="29" width="14.28515625" style="47" bestFit="1" customWidth="1"/>
    <col min="30" max="30" width="13.42578125" style="47" customWidth="1"/>
    <col min="31" max="32" width="14.85546875" style="47" customWidth="1"/>
    <col min="33" max="33" width="14.28515625" style="47" customWidth="1"/>
    <col min="34" max="35" width="12.28515625" style="47" hidden="1" customWidth="1"/>
    <col min="36" max="36" width="14.28515625" style="47" bestFit="1" customWidth="1"/>
    <col min="37" max="16384" width="9.140625" style="47"/>
  </cols>
  <sheetData>
    <row r="1" spans="1:36" x14ac:dyDescent="0.25">
      <c r="X1" s="309" t="s">
        <v>615</v>
      </c>
      <c r="Y1" s="309"/>
      <c r="Z1" s="309"/>
      <c r="AA1" s="309"/>
      <c r="AB1" s="309"/>
      <c r="AC1" s="309"/>
      <c r="AD1" s="309"/>
      <c r="AE1" s="240"/>
      <c r="AF1" s="240"/>
      <c r="AG1" s="241"/>
    </row>
    <row r="2" spans="1:36" ht="48" customHeight="1" x14ac:dyDescent="0.25">
      <c r="A2" s="44"/>
      <c r="B2" s="44"/>
      <c r="C2" s="307" t="s">
        <v>553</v>
      </c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242"/>
      <c r="AI2" s="242"/>
    </row>
    <row r="3" spans="1:36" ht="48" customHeight="1" x14ac:dyDescent="0.25">
      <c r="A3" s="73" t="s">
        <v>147</v>
      </c>
      <c r="B3" s="73" t="s">
        <v>170</v>
      </c>
      <c r="C3" s="175" t="s">
        <v>148</v>
      </c>
      <c r="D3" s="312" t="s">
        <v>149</v>
      </c>
      <c r="E3" s="313"/>
      <c r="F3" s="312" t="s">
        <v>150</v>
      </c>
      <c r="G3" s="313"/>
      <c r="H3" s="312" t="s">
        <v>188</v>
      </c>
      <c r="I3" s="313"/>
      <c r="J3" s="312" t="s">
        <v>194</v>
      </c>
      <c r="K3" s="313"/>
      <c r="L3" s="312" t="s">
        <v>195</v>
      </c>
      <c r="M3" s="313"/>
      <c r="N3" s="312" t="s">
        <v>196</v>
      </c>
      <c r="O3" s="313"/>
      <c r="P3" s="312" t="s">
        <v>197</v>
      </c>
      <c r="Q3" s="313"/>
      <c r="R3" s="312" t="s">
        <v>229</v>
      </c>
      <c r="S3" s="313"/>
      <c r="T3" s="312" t="s">
        <v>354</v>
      </c>
      <c r="U3" s="313"/>
      <c r="V3" s="312" t="s">
        <v>230</v>
      </c>
      <c r="W3" s="313"/>
      <c r="X3" s="312" t="s">
        <v>370</v>
      </c>
      <c r="Y3" s="313"/>
      <c r="Z3" s="312" t="s">
        <v>231</v>
      </c>
      <c r="AA3" s="313"/>
      <c r="AB3" s="312" t="s">
        <v>371</v>
      </c>
      <c r="AC3" s="313"/>
      <c r="AD3" s="312" t="s">
        <v>372</v>
      </c>
      <c r="AE3" s="313"/>
      <c r="AF3" s="239"/>
      <c r="AG3" s="73" t="s">
        <v>373</v>
      </c>
      <c r="AH3" s="242"/>
      <c r="AI3" s="242"/>
    </row>
    <row r="4" spans="1:36" ht="72.75" customHeight="1" x14ac:dyDescent="0.25">
      <c r="A4" s="54" t="s">
        <v>3</v>
      </c>
      <c r="B4" s="175" t="s">
        <v>198</v>
      </c>
      <c r="C4" s="55" t="s">
        <v>199</v>
      </c>
      <c r="D4" s="310" t="s">
        <v>89</v>
      </c>
      <c r="E4" s="311"/>
      <c r="F4" s="310" t="s">
        <v>245</v>
      </c>
      <c r="G4" s="311"/>
      <c r="H4" s="310" t="s">
        <v>91</v>
      </c>
      <c r="I4" s="311"/>
      <c r="J4" s="310" t="s">
        <v>246</v>
      </c>
      <c r="K4" s="311"/>
      <c r="L4" s="310" t="s">
        <v>247</v>
      </c>
      <c r="M4" s="311"/>
      <c r="N4" s="310" t="s">
        <v>248</v>
      </c>
      <c r="O4" s="311"/>
      <c r="P4" s="310" t="s">
        <v>277</v>
      </c>
      <c r="Q4" s="311"/>
      <c r="R4" s="310" t="s">
        <v>526</v>
      </c>
      <c r="S4" s="311"/>
      <c r="T4" s="310" t="s">
        <v>107</v>
      </c>
      <c r="U4" s="311"/>
      <c r="V4" s="310" t="s">
        <v>110</v>
      </c>
      <c r="W4" s="311"/>
      <c r="X4" s="310" t="s">
        <v>249</v>
      </c>
      <c r="Y4" s="311"/>
      <c r="Z4" s="310" t="s">
        <v>250</v>
      </c>
      <c r="AA4" s="311"/>
      <c r="AB4" s="310" t="s">
        <v>219</v>
      </c>
      <c r="AC4" s="311"/>
      <c r="AD4" s="310" t="s">
        <v>251</v>
      </c>
      <c r="AE4" s="311"/>
      <c r="AF4" s="56" t="s">
        <v>252</v>
      </c>
      <c r="AG4" s="56" t="s">
        <v>252</v>
      </c>
      <c r="AH4" s="232"/>
      <c r="AI4" s="232"/>
    </row>
    <row r="5" spans="1:36" ht="30" x14ac:dyDescent="0.25">
      <c r="A5" s="54" t="s">
        <v>5</v>
      </c>
      <c r="B5" s="233"/>
      <c r="C5" s="55" t="s">
        <v>253</v>
      </c>
      <c r="D5" s="57" t="s">
        <v>539</v>
      </c>
      <c r="E5" s="57" t="s">
        <v>540</v>
      </c>
      <c r="F5" s="57" t="s">
        <v>539</v>
      </c>
      <c r="G5" s="57" t="s">
        <v>540</v>
      </c>
      <c r="H5" s="57" t="s">
        <v>539</v>
      </c>
      <c r="I5" s="57" t="s">
        <v>540</v>
      </c>
      <c r="J5" s="57" t="s">
        <v>539</v>
      </c>
      <c r="K5" s="57" t="s">
        <v>540</v>
      </c>
      <c r="L5" s="57" t="s">
        <v>539</v>
      </c>
      <c r="M5" s="57" t="s">
        <v>540</v>
      </c>
      <c r="N5" s="57" t="s">
        <v>539</v>
      </c>
      <c r="O5" s="57" t="s">
        <v>540</v>
      </c>
      <c r="P5" s="57" t="s">
        <v>539</v>
      </c>
      <c r="Q5" s="57" t="s">
        <v>540</v>
      </c>
      <c r="R5" s="57" t="s">
        <v>539</v>
      </c>
      <c r="S5" s="57" t="s">
        <v>540</v>
      </c>
      <c r="T5" s="57" t="s">
        <v>539</v>
      </c>
      <c r="U5" s="57" t="s">
        <v>540</v>
      </c>
      <c r="V5" s="57" t="s">
        <v>546</v>
      </c>
      <c r="W5" s="57" t="s">
        <v>539</v>
      </c>
      <c r="X5" s="57" t="s">
        <v>540</v>
      </c>
      <c r="Y5" s="57" t="s">
        <v>539</v>
      </c>
      <c r="Z5" s="57" t="s">
        <v>540</v>
      </c>
      <c r="AA5" s="57" t="s">
        <v>539</v>
      </c>
      <c r="AB5" s="57" t="s">
        <v>540</v>
      </c>
      <c r="AC5" s="57" t="s">
        <v>539</v>
      </c>
      <c r="AD5" s="57" t="s">
        <v>540</v>
      </c>
      <c r="AE5" s="57" t="s">
        <v>539</v>
      </c>
      <c r="AF5" s="57" t="s">
        <v>540</v>
      </c>
      <c r="AG5" s="57" t="s">
        <v>539</v>
      </c>
      <c r="AH5" s="57" t="s">
        <v>540</v>
      </c>
      <c r="AI5" s="57" t="s">
        <v>539</v>
      </c>
    </row>
    <row r="6" spans="1:36" x14ac:dyDescent="0.25">
      <c r="A6" s="54" t="s">
        <v>15</v>
      </c>
      <c r="B6" s="44" t="s">
        <v>205</v>
      </c>
      <c r="C6" s="45" t="s">
        <v>441</v>
      </c>
      <c r="D6" s="306">
        <f>(50000+50000+90000+50000+1523750+90000+283820)*12+400000+626750*3+545500*2+81800*2+400000+40000*11+217180*9</f>
        <v>31980310</v>
      </c>
      <c r="E6" s="306">
        <v>28697440</v>
      </c>
      <c r="F6" s="306">
        <f>D6*0.9*13%</f>
        <v>3741696.27</v>
      </c>
      <c r="G6" s="306">
        <v>3709515</v>
      </c>
      <c r="H6" s="306">
        <v>100000</v>
      </c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>
        <v>5000000</v>
      </c>
      <c r="U6" s="306"/>
      <c r="V6" s="306"/>
      <c r="W6" s="306"/>
      <c r="X6" s="306"/>
      <c r="Y6" s="306"/>
      <c r="Z6" s="306"/>
      <c r="AA6" s="306"/>
      <c r="AB6" s="46">
        <f t="shared" ref="AB6:AC35" si="0">D6+F6+H6+J6+L6+N6+P6+R6+T6+V6+X6+Z6</f>
        <v>40822006.270000003</v>
      </c>
      <c r="AC6" s="46">
        <f>E6+G6+I6+K6+M6+O6+Q6+S6+U6+W6+Y6+AA6</f>
        <v>32406955</v>
      </c>
      <c r="AD6" s="211"/>
      <c r="AE6" s="211"/>
      <c r="AF6" s="211">
        <f t="shared" ref="AF6" si="1">AB6+AD6</f>
        <v>40822006.270000003</v>
      </c>
      <c r="AG6" s="211">
        <f t="shared" ref="AG6:AG49" si="2">AC6+AE6</f>
        <v>32406955</v>
      </c>
      <c r="AH6" s="211">
        <f t="shared" ref="AH6:AH45" si="3">AD6+AF6</f>
        <v>40822006.270000003</v>
      </c>
      <c r="AI6" s="211">
        <f t="shared" ref="AI6:AI45" si="4">AE6+AG6</f>
        <v>32406955</v>
      </c>
      <c r="AJ6" s="61"/>
    </row>
    <row r="7" spans="1:36" x14ac:dyDescent="0.25">
      <c r="A7" s="54" t="s">
        <v>20</v>
      </c>
      <c r="B7" s="44" t="s">
        <v>205</v>
      </c>
      <c r="C7" s="45" t="s">
        <v>439</v>
      </c>
      <c r="D7" s="306"/>
      <c r="E7" s="306"/>
      <c r="F7" s="306"/>
      <c r="G7" s="306"/>
      <c r="H7" s="306"/>
      <c r="I7" s="306">
        <v>50945</v>
      </c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>
        <v>1024330</v>
      </c>
      <c r="X7" s="306"/>
      <c r="Y7" s="306"/>
      <c r="Z7" s="306"/>
      <c r="AA7" s="306"/>
      <c r="AB7" s="46">
        <f t="shared" si="0"/>
        <v>0</v>
      </c>
      <c r="AC7" s="46">
        <f t="shared" si="0"/>
        <v>1075275</v>
      </c>
      <c r="AD7" s="211"/>
      <c r="AE7" s="211"/>
      <c r="AF7" s="211">
        <f t="shared" ref="AF7:AF35" si="5">AB7+AD7</f>
        <v>0</v>
      </c>
      <c r="AG7" s="211">
        <f t="shared" si="2"/>
        <v>1075275</v>
      </c>
      <c r="AH7" s="211">
        <f t="shared" si="3"/>
        <v>0</v>
      </c>
      <c r="AI7" s="211">
        <f t="shared" si="4"/>
        <v>1075275</v>
      </c>
      <c r="AJ7" s="61"/>
    </row>
    <row r="8" spans="1:36" x14ac:dyDescent="0.25">
      <c r="A8" s="54" t="s">
        <v>29</v>
      </c>
      <c r="B8" s="44" t="s">
        <v>205</v>
      </c>
      <c r="C8" s="45" t="s">
        <v>440</v>
      </c>
      <c r="D8" s="306"/>
      <c r="E8" s="306">
        <v>237804</v>
      </c>
      <c r="F8" s="306"/>
      <c r="G8" s="306"/>
      <c r="H8" s="306">
        <f>4332000+20000+180000+1200000+64000+230000</f>
        <v>6026000</v>
      </c>
      <c r="I8" s="306">
        <v>2693247</v>
      </c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>
        <f>2400000+2000000</f>
        <v>4400000</v>
      </c>
      <c r="U8" s="306"/>
      <c r="V8" s="306">
        <v>2000000</v>
      </c>
      <c r="W8" s="306">
        <v>1029639</v>
      </c>
      <c r="X8" s="306"/>
      <c r="Y8" s="306"/>
      <c r="Z8" s="306"/>
      <c r="AA8" s="306"/>
      <c r="AB8" s="46">
        <f t="shared" si="0"/>
        <v>12426000</v>
      </c>
      <c r="AC8" s="46">
        <f t="shared" si="0"/>
        <v>3960690</v>
      </c>
      <c r="AD8" s="211"/>
      <c r="AE8" s="211"/>
      <c r="AF8" s="211">
        <f t="shared" si="5"/>
        <v>12426000</v>
      </c>
      <c r="AG8" s="211">
        <f t="shared" si="2"/>
        <v>3960690</v>
      </c>
      <c r="AH8" s="211">
        <f t="shared" si="3"/>
        <v>12426000</v>
      </c>
      <c r="AI8" s="211">
        <f t="shared" si="4"/>
        <v>3960690</v>
      </c>
      <c r="AJ8" s="61"/>
    </row>
    <row r="9" spans="1:36" x14ac:dyDescent="0.25">
      <c r="A9" s="54" t="s">
        <v>51</v>
      </c>
      <c r="B9" s="44" t="s">
        <v>205</v>
      </c>
      <c r="C9" s="45" t="s">
        <v>442</v>
      </c>
      <c r="D9" s="306"/>
      <c r="E9" s="306"/>
      <c r="F9" s="306"/>
      <c r="G9" s="306"/>
      <c r="H9" s="306">
        <f>21000000+15000000+3870000+3905000+9250000</f>
        <v>53025000</v>
      </c>
      <c r="I9" s="306">
        <v>55500121</v>
      </c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  <c r="Y9" s="306"/>
      <c r="Z9" s="306"/>
      <c r="AA9" s="306"/>
      <c r="AB9" s="46">
        <f t="shared" si="0"/>
        <v>53025000</v>
      </c>
      <c r="AC9" s="46">
        <f t="shared" si="0"/>
        <v>55500121</v>
      </c>
      <c r="AD9" s="211"/>
      <c r="AE9" s="211"/>
      <c r="AF9" s="211">
        <f t="shared" si="5"/>
        <v>53025000</v>
      </c>
      <c r="AG9" s="211">
        <f t="shared" si="2"/>
        <v>55500121</v>
      </c>
      <c r="AH9" s="211">
        <f t="shared" si="3"/>
        <v>53025000</v>
      </c>
      <c r="AI9" s="211">
        <f t="shared" si="4"/>
        <v>55500121</v>
      </c>
      <c r="AJ9" s="61"/>
    </row>
    <row r="10" spans="1:36" x14ac:dyDescent="0.25">
      <c r="A10" s="54" t="s">
        <v>53</v>
      </c>
      <c r="B10" s="44" t="s">
        <v>205</v>
      </c>
      <c r="C10" s="45" t="s">
        <v>464</v>
      </c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>
        <v>5000000</v>
      </c>
      <c r="Y10" s="306">
        <v>118173099</v>
      </c>
      <c r="Z10" s="306"/>
      <c r="AA10" s="306"/>
      <c r="AB10" s="46">
        <f t="shared" si="0"/>
        <v>5000000</v>
      </c>
      <c r="AC10" s="46">
        <f t="shared" si="0"/>
        <v>118173099</v>
      </c>
      <c r="AD10" s="211"/>
      <c r="AE10" s="211"/>
      <c r="AF10" s="211">
        <f t="shared" si="5"/>
        <v>5000000</v>
      </c>
      <c r="AG10" s="211">
        <f t="shared" si="2"/>
        <v>118173099</v>
      </c>
      <c r="AH10" s="211">
        <f t="shared" si="3"/>
        <v>5000000</v>
      </c>
      <c r="AI10" s="211">
        <f t="shared" si="4"/>
        <v>118173099</v>
      </c>
      <c r="AJ10" s="61"/>
    </row>
    <row r="11" spans="1:36" x14ac:dyDescent="0.25">
      <c r="A11" s="54" t="s">
        <v>55</v>
      </c>
      <c r="B11" s="44" t="s">
        <v>205</v>
      </c>
      <c r="C11" s="45" t="s">
        <v>443</v>
      </c>
      <c r="D11" s="306"/>
      <c r="E11" s="306"/>
      <c r="F11" s="306"/>
      <c r="G11" s="306"/>
      <c r="H11" s="306"/>
      <c r="I11" s="306"/>
      <c r="J11" s="306">
        <v>450000</v>
      </c>
      <c r="K11" s="306">
        <v>60000</v>
      </c>
      <c r="L11" s="306"/>
      <c r="M11" s="30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  <c r="AB11" s="46">
        <f t="shared" si="0"/>
        <v>450000</v>
      </c>
      <c r="AC11" s="46">
        <f t="shared" si="0"/>
        <v>60000</v>
      </c>
      <c r="AD11" s="211"/>
      <c r="AE11" s="211"/>
      <c r="AF11" s="211">
        <f t="shared" si="5"/>
        <v>450000</v>
      </c>
      <c r="AG11" s="211">
        <f t="shared" si="2"/>
        <v>60000</v>
      </c>
      <c r="AH11" s="211">
        <f t="shared" si="3"/>
        <v>450000</v>
      </c>
      <c r="AI11" s="211">
        <f t="shared" si="4"/>
        <v>60000</v>
      </c>
      <c r="AJ11" s="61"/>
    </row>
    <row r="12" spans="1:36" x14ac:dyDescent="0.25">
      <c r="A12" s="54" t="s">
        <v>57</v>
      </c>
      <c r="B12" s="44" t="s">
        <v>205</v>
      </c>
      <c r="C12" s="45" t="s">
        <v>444</v>
      </c>
      <c r="D12" s="306"/>
      <c r="E12" s="306"/>
      <c r="F12" s="306"/>
      <c r="G12" s="306"/>
      <c r="H12" s="306"/>
      <c r="I12" s="306">
        <v>60000</v>
      </c>
      <c r="J12" s="306">
        <v>300000</v>
      </c>
      <c r="K12" s="306">
        <v>118000</v>
      </c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  <c r="AA12" s="306"/>
      <c r="AB12" s="46">
        <f t="shared" si="0"/>
        <v>300000</v>
      </c>
      <c r="AC12" s="46">
        <f t="shared" si="0"/>
        <v>178000</v>
      </c>
      <c r="AD12" s="211"/>
      <c r="AE12" s="211"/>
      <c r="AF12" s="211">
        <f t="shared" si="5"/>
        <v>300000</v>
      </c>
      <c r="AG12" s="211">
        <f t="shared" si="2"/>
        <v>178000</v>
      </c>
      <c r="AH12" s="211">
        <f t="shared" si="3"/>
        <v>300000</v>
      </c>
      <c r="AI12" s="211">
        <f t="shared" si="4"/>
        <v>178000</v>
      </c>
      <c r="AJ12" s="61"/>
    </row>
    <row r="13" spans="1:36" x14ac:dyDescent="0.25">
      <c r="A13" s="54" t="s">
        <v>58</v>
      </c>
      <c r="B13" s="44" t="s">
        <v>207</v>
      </c>
      <c r="C13" s="45" t="s">
        <v>445</v>
      </c>
      <c r="D13" s="306"/>
      <c r="E13" s="306"/>
      <c r="F13" s="306"/>
      <c r="G13" s="306"/>
      <c r="H13" s="306"/>
      <c r="I13" s="306"/>
      <c r="J13" s="306"/>
      <c r="K13" s="306"/>
      <c r="L13" s="306"/>
      <c r="M13" s="306"/>
      <c r="N13" s="306">
        <v>720000</v>
      </c>
      <c r="O13" s="306">
        <v>330000</v>
      </c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46">
        <f t="shared" si="0"/>
        <v>720000</v>
      </c>
      <c r="AC13" s="46">
        <f t="shared" si="0"/>
        <v>330000</v>
      </c>
      <c r="AD13" s="211"/>
      <c r="AE13" s="211"/>
      <c r="AF13" s="211">
        <f t="shared" si="5"/>
        <v>720000</v>
      </c>
      <c r="AG13" s="211">
        <f t="shared" si="2"/>
        <v>330000</v>
      </c>
      <c r="AH13" s="211">
        <f t="shared" si="3"/>
        <v>720000</v>
      </c>
      <c r="AI13" s="211">
        <f t="shared" si="4"/>
        <v>330000</v>
      </c>
      <c r="AJ13" s="61"/>
    </row>
    <row r="14" spans="1:36" x14ac:dyDescent="0.25">
      <c r="A14" s="54" t="s">
        <v>66</v>
      </c>
      <c r="B14" s="44" t="s">
        <v>205</v>
      </c>
      <c r="C14" s="45" t="s">
        <v>446</v>
      </c>
      <c r="D14" s="306"/>
      <c r="E14" s="306"/>
      <c r="F14" s="306"/>
      <c r="G14" s="306"/>
      <c r="H14" s="306"/>
      <c r="I14" s="306">
        <v>5228590</v>
      </c>
      <c r="J14" s="306">
        <v>2400000</v>
      </c>
      <c r="K14" s="306">
        <v>1358870</v>
      </c>
      <c r="L14" s="306"/>
      <c r="M14" s="306">
        <v>200000</v>
      </c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306"/>
      <c r="Y14" s="306"/>
      <c r="Z14" s="306"/>
      <c r="AA14" s="306"/>
      <c r="AB14" s="46">
        <f t="shared" si="0"/>
        <v>2400000</v>
      </c>
      <c r="AC14" s="46">
        <f t="shared" si="0"/>
        <v>6787460</v>
      </c>
      <c r="AD14" s="211"/>
      <c r="AE14" s="211"/>
      <c r="AF14" s="211">
        <f t="shared" si="5"/>
        <v>2400000</v>
      </c>
      <c r="AG14" s="211">
        <f t="shared" si="2"/>
        <v>6787460</v>
      </c>
      <c r="AH14" s="211">
        <f t="shared" si="3"/>
        <v>2400000</v>
      </c>
      <c r="AI14" s="211">
        <f t="shared" si="4"/>
        <v>6787460</v>
      </c>
      <c r="AJ14" s="61"/>
    </row>
    <row r="15" spans="1:36" x14ac:dyDescent="0.25">
      <c r="A15" s="54" t="s">
        <v>68</v>
      </c>
      <c r="B15" s="44" t="s">
        <v>205</v>
      </c>
      <c r="C15" s="45" t="s">
        <v>447</v>
      </c>
      <c r="D15" s="306"/>
      <c r="E15" s="306"/>
      <c r="F15" s="306"/>
      <c r="G15" s="306"/>
      <c r="H15" s="306"/>
      <c r="I15" s="306"/>
      <c r="J15" s="306">
        <v>250000</v>
      </c>
      <c r="K15" s="306">
        <v>210000</v>
      </c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46">
        <f t="shared" si="0"/>
        <v>250000</v>
      </c>
      <c r="AC15" s="46">
        <f t="shared" si="0"/>
        <v>210000</v>
      </c>
      <c r="AD15" s="211"/>
      <c r="AE15" s="211"/>
      <c r="AF15" s="211">
        <f t="shared" si="5"/>
        <v>250000</v>
      </c>
      <c r="AG15" s="211">
        <f t="shared" si="2"/>
        <v>210000</v>
      </c>
      <c r="AH15" s="211">
        <f t="shared" si="3"/>
        <v>250000</v>
      </c>
      <c r="AI15" s="211">
        <f t="shared" si="4"/>
        <v>210000</v>
      </c>
      <c r="AJ15" s="61"/>
    </row>
    <row r="16" spans="1:36" x14ac:dyDescent="0.25">
      <c r="A16" s="54" t="s">
        <v>70</v>
      </c>
      <c r="B16" s="44" t="s">
        <v>205</v>
      </c>
      <c r="C16" s="45" t="s">
        <v>448</v>
      </c>
      <c r="D16" s="306"/>
      <c r="E16" s="306"/>
      <c r="F16" s="306"/>
      <c r="G16" s="306"/>
      <c r="H16" s="306"/>
      <c r="I16" s="306"/>
      <c r="J16" s="306">
        <v>400000</v>
      </c>
      <c r="K16" s="306">
        <v>188150</v>
      </c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46">
        <f t="shared" si="0"/>
        <v>400000</v>
      </c>
      <c r="AC16" s="46">
        <f t="shared" si="0"/>
        <v>188150</v>
      </c>
      <c r="AD16" s="211"/>
      <c r="AE16" s="211"/>
      <c r="AF16" s="211">
        <f t="shared" si="5"/>
        <v>400000</v>
      </c>
      <c r="AG16" s="211">
        <f t="shared" si="2"/>
        <v>188150</v>
      </c>
      <c r="AH16" s="211">
        <f t="shared" si="3"/>
        <v>400000</v>
      </c>
      <c r="AI16" s="211">
        <f t="shared" si="4"/>
        <v>188150</v>
      </c>
      <c r="AJ16" s="61"/>
    </row>
    <row r="17" spans="1:36" x14ac:dyDescent="0.25">
      <c r="A17" s="54" t="s">
        <v>76</v>
      </c>
      <c r="B17" s="44" t="s">
        <v>205</v>
      </c>
      <c r="C17" s="45" t="s">
        <v>449</v>
      </c>
      <c r="D17" s="306"/>
      <c r="E17" s="306"/>
      <c r="F17" s="306"/>
      <c r="G17" s="306"/>
      <c r="H17" s="306"/>
      <c r="I17" s="306"/>
      <c r="J17" s="306">
        <v>100000</v>
      </c>
      <c r="K17" s="306">
        <v>7850</v>
      </c>
      <c r="L17" s="306"/>
      <c r="M17" s="306"/>
      <c r="N17" s="306"/>
      <c r="O17" s="306"/>
      <c r="P17" s="306"/>
      <c r="Q17" s="306"/>
      <c r="R17" s="306"/>
      <c r="S17" s="306"/>
      <c r="T17" s="306"/>
      <c r="U17" s="306"/>
      <c r="V17" s="306"/>
      <c r="W17" s="306"/>
      <c r="X17" s="306"/>
      <c r="Y17" s="306"/>
      <c r="Z17" s="306"/>
      <c r="AA17" s="306"/>
      <c r="AB17" s="46">
        <f t="shared" si="0"/>
        <v>100000</v>
      </c>
      <c r="AC17" s="46">
        <f t="shared" si="0"/>
        <v>7850</v>
      </c>
      <c r="AD17" s="211"/>
      <c r="AE17" s="211"/>
      <c r="AF17" s="211">
        <f t="shared" si="5"/>
        <v>100000</v>
      </c>
      <c r="AG17" s="211">
        <f t="shared" si="2"/>
        <v>7850</v>
      </c>
      <c r="AH17" s="211">
        <f t="shared" si="3"/>
        <v>100000</v>
      </c>
      <c r="AI17" s="211">
        <f t="shared" si="4"/>
        <v>7850</v>
      </c>
      <c r="AJ17" s="61"/>
    </row>
    <row r="18" spans="1:36" x14ac:dyDescent="0.25">
      <c r="A18" s="54" t="s">
        <v>78</v>
      </c>
      <c r="B18" s="44" t="s">
        <v>205</v>
      </c>
      <c r="C18" s="45" t="s">
        <v>450</v>
      </c>
      <c r="D18" s="306">
        <v>4002000</v>
      </c>
      <c r="E18" s="306">
        <v>19919281</v>
      </c>
      <c r="F18" s="306">
        <v>260130</v>
      </c>
      <c r="G18" s="306">
        <v>1360228</v>
      </c>
      <c r="H18" s="306"/>
      <c r="I18" s="306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6"/>
      <c r="AA18" s="306"/>
      <c r="AB18" s="46">
        <f t="shared" si="0"/>
        <v>4262130</v>
      </c>
      <c r="AC18" s="46">
        <f t="shared" si="0"/>
        <v>21279509</v>
      </c>
      <c r="AD18" s="211"/>
      <c r="AE18" s="211"/>
      <c r="AF18" s="211">
        <f t="shared" si="5"/>
        <v>4262130</v>
      </c>
      <c r="AG18" s="211">
        <f t="shared" si="2"/>
        <v>21279509</v>
      </c>
      <c r="AH18" s="211">
        <f t="shared" si="3"/>
        <v>4262130</v>
      </c>
      <c r="AI18" s="211">
        <f t="shared" si="4"/>
        <v>21279509</v>
      </c>
      <c r="AJ18" s="61"/>
    </row>
    <row r="19" spans="1:36" x14ac:dyDescent="0.25">
      <c r="A19" s="54" t="s">
        <v>154</v>
      </c>
      <c r="B19" s="44" t="s">
        <v>205</v>
      </c>
      <c r="C19" s="45" t="s">
        <v>451</v>
      </c>
      <c r="D19" s="306">
        <f>2623440+1956440+1676300+27390444+34760010+960000+240000+919200+600000+720000</f>
        <v>71845834</v>
      </c>
      <c r="E19" s="306">
        <v>71839479</v>
      </c>
      <c r="F19" s="306">
        <f>D19*6.5%</f>
        <v>4669979.21</v>
      </c>
      <c r="G19" s="306">
        <v>4888992</v>
      </c>
      <c r="H19" s="306">
        <f>11759469+2783555</f>
        <v>14543024</v>
      </c>
      <c r="I19" s="306">
        <v>18021066</v>
      </c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>
        <f>600000+130048</f>
        <v>730048</v>
      </c>
      <c r="U19" s="306">
        <v>969358</v>
      </c>
      <c r="V19" s="306"/>
      <c r="W19" s="306"/>
      <c r="X19" s="306"/>
      <c r="Y19" s="306"/>
      <c r="Z19" s="306"/>
      <c r="AA19" s="306"/>
      <c r="AB19" s="46">
        <f t="shared" si="0"/>
        <v>91788885.209999993</v>
      </c>
      <c r="AC19" s="46">
        <f t="shared" si="0"/>
        <v>95718895</v>
      </c>
      <c r="AD19" s="211"/>
      <c r="AE19" s="211"/>
      <c r="AF19" s="211">
        <f t="shared" si="5"/>
        <v>91788885.209999993</v>
      </c>
      <c r="AG19" s="211">
        <f t="shared" si="2"/>
        <v>95718895</v>
      </c>
      <c r="AH19" s="211">
        <f t="shared" si="3"/>
        <v>91788885.209999993</v>
      </c>
      <c r="AI19" s="211">
        <f t="shared" si="4"/>
        <v>95718895</v>
      </c>
      <c r="AJ19" s="61"/>
    </row>
    <row r="20" spans="1:36" x14ac:dyDescent="0.25">
      <c r="A20" s="54" t="s">
        <v>82</v>
      </c>
      <c r="B20" s="44" t="s">
        <v>205</v>
      </c>
      <c r="C20" s="45" t="s">
        <v>452</v>
      </c>
      <c r="D20" s="306"/>
      <c r="E20" s="306"/>
      <c r="F20" s="306"/>
      <c r="G20" s="306"/>
      <c r="H20" s="306">
        <f>301000*5</f>
        <v>1505000</v>
      </c>
      <c r="I20" s="306">
        <v>1053000</v>
      </c>
      <c r="J20" s="306"/>
      <c r="K20" s="306"/>
      <c r="L20" s="306"/>
      <c r="M20" s="306"/>
      <c r="N20" s="306"/>
      <c r="O20" s="306"/>
      <c r="P20" s="306"/>
      <c r="Q20" s="306"/>
      <c r="R20" s="306">
        <f>1837430*5+11843488+6800000</f>
        <v>27830638</v>
      </c>
      <c r="S20" s="306">
        <v>23622879</v>
      </c>
      <c r="T20" s="306"/>
      <c r="U20" s="306"/>
      <c r="V20" s="306"/>
      <c r="W20" s="306"/>
      <c r="X20" s="306"/>
      <c r="Y20" s="306"/>
      <c r="Z20" s="306">
        <v>16898319</v>
      </c>
      <c r="AA20" s="306">
        <v>17613632</v>
      </c>
      <c r="AB20" s="46">
        <f t="shared" si="0"/>
        <v>46233957</v>
      </c>
      <c r="AC20" s="46">
        <f t="shared" si="0"/>
        <v>42289511</v>
      </c>
      <c r="AD20" s="211"/>
      <c r="AE20" s="211"/>
      <c r="AF20" s="211">
        <f t="shared" si="5"/>
        <v>46233957</v>
      </c>
      <c r="AG20" s="211">
        <f t="shared" si="2"/>
        <v>42289511</v>
      </c>
      <c r="AH20" s="211">
        <f t="shared" si="3"/>
        <v>46233957</v>
      </c>
      <c r="AI20" s="211">
        <f t="shared" si="4"/>
        <v>42289511</v>
      </c>
      <c r="AJ20" s="61"/>
    </row>
    <row r="21" spans="1:36" x14ac:dyDescent="0.25">
      <c r="A21" s="54" t="s">
        <v>84</v>
      </c>
      <c r="B21" s="44" t="s">
        <v>205</v>
      </c>
      <c r="C21" s="45" t="s">
        <v>460</v>
      </c>
      <c r="D21" s="306">
        <f>(47300+23530+350000+348800)*12</f>
        <v>9235560</v>
      </c>
      <c r="E21" s="306">
        <v>29472583</v>
      </c>
      <c r="F21" s="306">
        <f>D21*13%</f>
        <v>1200622.8</v>
      </c>
      <c r="G21" s="306">
        <v>3527240</v>
      </c>
      <c r="H21" s="306">
        <f>37000000+72000+5500000+4390000+4290000</f>
        <v>51252000</v>
      </c>
      <c r="I21" s="306">
        <v>38567329</v>
      </c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06"/>
      <c r="U21" s="306">
        <v>1010470</v>
      </c>
      <c r="V21" s="306"/>
      <c r="W21" s="306"/>
      <c r="X21" s="306"/>
      <c r="Y21" s="306"/>
      <c r="Z21" s="306"/>
      <c r="AA21" s="306"/>
      <c r="AB21" s="46">
        <f t="shared" si="0"/>
        <v>61688182.799999997</v>
      </c>
      <c r="AC21" s="46">
        <f t="shared" si="0"/>
        <v>72577622</v>
      </c>
      <c r="AD21" s="211"/>
      <c r="AE21" s="211"/>
      <c r="AF21" s="211">
        <f t="shared" si="5"/>
        <v>61688182.799999997</v>
      </c>
      <c r="AG21" s="211">
        <f t="shared" si="2"/>
        <v>72577622</v>
      </c>
      <c r="AH21" s="211">
        <f t="shared" si="3"/>
        <v>61688182.799999997</v>
      </c>
      <c r="AI21" s="211">
        <f t="shared" si="4"/>
        <v>72577622</v>
      </c>
      <c r="AJ21" s="61"/>
    </row>
    <row r="22" spans="1:36" x14ac:dyDescent="0.25">
      <c r="A22" s="54" t="s">
        <v>305</v>
      </c>
      <c r="B22" s="44" t="s">
        <v>205</v>
      </c>
      <c r="C22" s="45" t="s">
        <v>453</v>
      </c>
      <c r="D22" s="306"/>
      <c r="E22" s="306"/>
      <c r="F22" s="306"/>
      <c r="G22" s="306"/>
      <c r="H22" s="306"/>
      <c r="I22" s="306">
        <v>8430459</v>
      </c>
      <c r="J22" s="306"/>
      <c r="K22" s="306"/>
      <c r="L22" s="306"/>
      <c r="M22" s="306"/>
      <c r="N22" s="306"/>
      <c r="O22" s="306"/>
      <c r="P22" s="306"/>
      <c r="Q22" s="306"/>
      <c r="R22" s="306"/>
      <c r="S22" s="306"/>
      <c r="T22" s="306"/>
      <c r="U22" s="306"/>
      <c r="V22" s="306"/>
      <c r="W22" s="306"/>
      <c r="X22" s="306"/>
      <c r="Y22" s="306"/>
      <c r="Z22" s="306">
        <v>16903444</v>
      </c>
      <c r="AA22" s="306">
        <v>16903444</v>
      </c>
      <c r="AB22" s="46">
        <f t="shared" si="0"/>
        <v>16903444</v>
      </c>
      <c r="AC22" s="46">
        <f t="shared" si="0"/>
        <v>25333903</v>
      </c>
      <c r="AD22" s="211"/>
      <c r="AE22" s="211"/>
      <c r="AF22" s="211">
        <f t="shared" si="5"/>
        <v>16903444</v>
      </c>
      <c r="AG22" s="211">
        <f t="shared" si="2"/>
        <v>25333903</v>
      </c>
      <c r="AH22" s="211">
        <f t="shared" si="3"/>
        <v>16903444</v>
      </c>
      <c r="AI22" s="211">
        <f t="shared" si="4"/>
        <v>25333903</v>
      </c>
      <c r="AJ22" s="61"/>
    </row>
    <row r="23" spans="1:36" x14ac:dyDescent="0.25">
      <c r="A23" s="54" t="s">
        <v>306</v>
      </c>
      <c r="B23" s="44" t="s">
        <v>205</v>
      </c>
      <c r="C23" s="45" t="s">
        <v>512</v>
      </c>
      <c r="D23" s="306"/>
      <c r="E23" s="306"/>
      <c r="F23" s="306"/>
      <c r="G23" s="306"/>
      <c r="H23" s="306"/>
      <c r="I23" s="306">
        <v>2032782</v>
      </c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06">
        <v>50000000</v>
      </c>
      <c r="AA23" s="306">
        <v>287692011</v>
      </c>
      <c r="AB23" s="46">
        <f t="shared" ref="AB23:AB24" si="6">D23+F23+H23+J23+L23+N23+P23+R23+T23+V23+X23+Z23</f>
        <v>50000000</v>
      </c>
      <c r="AC23" s="46">
        <f t="shared" ref="AC23:AC24" si="7">E23+G23+I23+K23+M23+O23+Q23+S23+U23+W23+Y23+AA23</f>
        <v>289724793</v>
      </c>
      <c r="AD23" s="211"/>
      <c r="AE23" s="211"/>
      <c r="AF23" s="211">
        <f t="shared" ref="AF23" si="8">AB23+AD23</f>
        <v>50000000</v>
      </c>
      <c r="AG23" s="211">
        <f t="shared" si="2"/>
        <v>289724793</v>
      </c>
      <c r="AH23" s="211">
        <f t="shared" si="3"/>
        <v>50000000</v>
      </c>
      <c r="AI23" s="211">
        <f t="shared" si="4"/>
        <v>289724793</v>
      </c>
      <c r="AJ23" s="61"/>
    </row>
    <row r="24" spans="1:36" x14ac:dyDescent="0.25">
      <c r="A24" s="54" t="s">
        <v>307</v>
      </c>
      <c r="B24" s="44" t="s">
        <v>205</v>
      </c>
      <c r="C24" s="45" t="s">
        <v>454</v>
      </c>
      <c r="D24" s="306"/>
      <c r="E24" s="306"/>
      <c r="F24" s="306"/>
      <c r="G24" s="306"/>
      <c r="H24" s="306">
        <f>2140000+360000</f>
        <v>2500000</v>
      </c>
      <c r="I24" s="306">
        <v>1700000</v>
      </c>
      <c r="J24" s="306"/>
      <c r="K24" s="306"/>
      <c r="L24" s="306"/>
      <c r="M24" s="306"/>
      <c r="N24" s="306"/>
      <c r="O24" s="306"/>
      <c r="P24" s="306"/>
      <c r="Q24" s="306"/>
      <c r="R24" s="306"/>
      <c r="S24" s="306"/>
      <c r="T24" s="306"/>
      <c r="U24" s="306"/>
      <c r="V24" s="306"/>
      <c r="W24" s="306"/>
      <c r="X24" s="306"/>
      <c r="Y24" s="306"/>
      <c r="Z24" s="306"/>
      <c r="AA24" s="306"/>
      <c r="AB24" s="46">
        <f t="shared" si="6"/>
        <v>2500000</v>
      </c>
      <c r="AC24" s="46">
        <f t="shared" si="7"/>
        <v>1700000</v>
      </c>
      <c r="AD24" s="211"/>
      <c r="AE24" s="211"/>
      <c r="AF24" s="211">
        <f t="shared" si="5"/>
        <v>2500000</v>
      </c>
      <c r="AG24" s="211">
        <f t="shared" si="2"/>
        <v>1700000</v>
      </c>
      <c r="AH24" s="211">
        <f t="shared" si="3"/>
        <v>2500000</v>
      </c>
      <c r="AI24" s="211">
        <f t="shared" si="4"/>
        <v>1700000</v>
      </c>
      <c r="AJ24" s="61"/>
    </row>
    <row r="25" spans="1:36" x14ac:dyDescent="0.25">
      <c r="A25" s="54" t="s">
        <v>308</v>
      </c>
      <c r="B25" s="44" t="s">
        <v>205</v>
      </c>
      <c r="C25" s="45" t="s">
        <v>465</v>
      </c>
      <c r="D25" s="306"/>
      <c r="E25" s="306"/>
      <c r="F25" s="306"/>
      <c r="G25" s="306"/>
      <c r="H25" s="306">
        <f>125000+46000+20000</f>
        <v>191000</v>
      </c>
      <c r="I25" s="306">
        <v>324824</v>
      </c>
      <c r="J25" s="306"/>
      <c r="K25" s="306"/>
      <c r="L25" s="306"/>
      <c r="M25" s="306"/>
      <c r="N25" s="306"/>
      <c r="O25" s="306"/>
      <c r="P25" s="306"/>
      <c r="Q25" s="306"/>
      <c r="R25" s="306"/>
      <c r="S25" s="306"/>
      <c r="T25" s="306"/>
      <c r="U25" s="306"/>
      <c r="V25" s="306"/>
      <c r="W25" s="306"/>
      <c r="X25" s="306"/>
      <c r="Y25" s="306"/>
      <c r="Z25" s="306"/>
      <c r="AA25" s="306"/>
      <c r="AB25" s="46">
        <f t="shared" si="0"/>
        <v>191000</v>
      </c>
      <c r="AC25" s="46">
        <f t="shared" si="0"/>
        <v>324824</v>
      </c>
      <c r="AD25" s="211"/>
      <c r="AE25" s="211"/>
      <c r="AF25" s="211">
        <f t="shared" si="5"/>
        <v>191000</v>
      </c>
      <c r="AG25" s="211">
        <f t="shared" si="2"/>
        <v>324824</v>
      </c>
      <c r="AH25" s="211">
        <f t="shared" si="3"/>
        <v>191000</v>
      </c>
      <c r="AI25" s="211">
        <f t="shared" si="4"/>
        <v>324824</v>
      </c>
      <c r="AJ25" s="61"/>
    </row>
    <row r="26" spans="1:36" x14ac:dyDescent="0.25">
      <c r="A26" s="54" t="s">
        <v>309</v>
      </c>
      <c r="B26" s="44" t="s">
        <v>205</v>
      </c>
      <c r="C26" s="45" t="s">
        <v>474</v>
      </c>
      <c r="D26" s="210">
        <f>115607*12+450000*10+348800*4*10+1000000</f>
        <v>20839284</v>
      </c>
      <c r="E26" s="210"/>
      <c r="F26" s="210">
        <f>D26*13%</f>
        <v>2709106.92</v>
      </c>
      <c r="G26" s="210"/>
      <c r="H26" s="146"/>
      <c r="I26" s="146">
        <v>33000</v>
      </c>
      <c r="J26" s="210"/>
      <c r="K26" s="210"/>
      <c r="L26" s="210">
        <f>5500000+200000+4474112</f>
        <v>10174112</v>
      </c>
      <c r="M26" s="210">
        <v>11834055</v>
      </c>
      <c r="N26" s="210"/>
      <c r="O26" s="210"/>
      <c r="P26" s="210"/>
      <c r="Q26" s="210"/>
      <c r="R26" s="210"/>
      <c r="S26" s="210"/>
      <c r="T26" s="210"/>
      <c r="U26" s="210">
        <v>1000000</v>
      </c>
      <c r="V26" s="210"/>
      <c r="W26" s="210"/>
      <c r="X26" s="146"/>
      <c r="Y26" s="146"/>
      <c r="Z26" s="210"/>
      <c r="AA26" s="210"/>
      <c r="AB26" s="46">
        <f t="shared" si="0"/>
        <v>33722502.920000002</v>
      </c>
      <c r="AC26" s="46">
        <f t="shared" si="0"/>
        <v>12867055</v>
      </c>
      <c r="AD26" s="211"/>
      <c r="AE26" s="211"/>
      <c r="AF26" s="211">
        <f t="shared" si="5"/>
        <v>33722502.920000002</v>
      </c>
      <c r="AG26" s="211">
        <f t="shared" si="2"/>
        <v>12867055</v>
      </c>
      <c r="AH26" s="211">
        <f t="shared" si="3"/>
        <v>33722502.920000002</v>
      </c>
      <c r="AI26" s="211">
        <f t="shared" si="4"/>
        <v>12867055</v>
      </c>
      <c r="AJ26" s="61"/>
    </row>
    <row r="27" spans="1:36" x14ac:dyDescent="0.25">
      <c r="A27" s="54" t="s">
        <v>310</v>
      </c>
      <c r="B27" s="44" t="s">
        <v>205</v>
      </c>
      <c r="C27" s="45" t="s">
        <v>455</v>
      </c>
      <c r="D27" s="210"/>
      <c r="E27" s="210"/>
      <c r="F27" s="210"/>
      <c r="G27" s="210"/>
      <c r="H27" s="146">
        <v>28454000</v>
      </c>
      <c r="I27" s="146">
        <v>30371523</v>
      </c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146"/>
      <c r="Y27" s="146"/>
      <c r="Z27" s="210"/>
      <c r="AA27" s="210"/>
      <c r="AB27" s="46">
        <f t="shared" si="0"/>
        <v>28454000</v>
      </c>
      <c r="AC27" s="46">
        <f t="shared" si="0"/>
        <v>30371523</v>
      </c>
      <c r="AD27" s="211"/>
      <c r="AE27" s="211"/>
      <c r="AF27" s="211">
        <f t="shared" si="5"/>
        <v>28454000</v>
      </c>
      <c r="AG27" s="211">
        <f t="shared" si="2"/>
        <v>30371523</v>
      </c>
      <c r="AH27" s="211">
        <f t="shared" si="3"/>
        <v>28454000</v>
      </c>
      <c r="AI27" s="211">
        <f t="shared" si="4"/>
        <v>30371523</v>
      </c>
      <c r="AJ27" s="61"/>
    </row>
    <row r="28" spans="1:36" x14ac:dyDescent="0.25">
      <c r="A28" s="54" t="s">
        <v>311</v>
      </c>
      <c r="B28" s="44" t="s">
        <v>205</v>
      </c>
      <c r="C28" s="45" t="s">
        <v>461</v>
      </c>
      <c r="D28" s="210"/>
      <c r="E28" s="210">
        <v>67500</v>
      </c>
      <c r="F28" s="210"/>
      <c r="G28" s="210"/>
      <c r="H28" s="146">
        <v>2450000</v>
      </c>
      <c r="I28" s="146">
        <v>2665902</v>
      </c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146"/>
      <c r="Y28" s="146"/>
      <c r="Z28" s="210"/>
      <c r="AA28" s="210"/>
      <c r="AB28" s="46">
        <f t="shared" si="0"/>
        <v>2450000</v>
      </c>
      <c r="AC28" s="46">
        <f t="shared" si="0"/>
        <v>2733402</v>
      </c>
      <c r="AD28" s="211"/>
      <c r="AE28" s="211"/>
      <c r="AF28" s="211">
        <f t="shared" si="5"/>
        <v>2450000</v>
      </c>
      <c r="AG28" s="211">
        <f t="shared" si="2"/>
        <v>2733402</v>
      </c>
      <c r="AH28" s="211">
        <f t="shared" si="3"/>
        <v>2450000</v>
      </c>
      <c r="AI28" s="211">
        <f t="shared" si="4"/>
        <v>2733402</v>
      </c>
      <c r="AJ28" s="61"/>
    </row>
    <row r="29" spans="1:36" ht="20.25" customHeight="1" x14ac:dyDescent="0.25">
      <c r="A29" s="54" t="s">
        <v>520</v>
      </c>
      <c r="B29" s="44" t="s">
        <v>207</v>
      </c>
      <c r="C29" s="204" t="s">
        <v>529</v>
      </c>
      <c r="D29" s="210">
        <f>500000*2</f>
        <v>1000000</v>
      </c>
      <c r="E29" s="210">
        <v>432500</v>
      </c>
      <c r="F29" s="210"/>
      <c r="G29" s="210"/>
      <c r="H29" s="146">
        <v>500000</v>
      </c>
      <c r="I29" s="146">
        <v>104700</v>
      </c>
      <c r="J29" s="210"/>
      <c r="K29" s="210"/>
      <c r="L29" s="210"/>
      <c r="M29" s="210"/>
      <c r="N29" s="210">
        <f>1202783+723660</f>
        <v>1926443</v>
      </c>
      <c r="O29" s="210">
        <v>162500</v>
      </c>
      <c r="P29" s="210"/>
      <c r="Q29" s="210"/>
      <c r="R29" s="210"/>
      <c r="S29" s="210"/>
      <c r="T29" s="210"/>
      <c r="U29" s="210"/>
      <c r="V29" s="210"/>
      <c r="W29" s="210"/>
      <c r="X29" s="146"/>
      <c r="Y29" s="146"/>
      <c r="Z29" s="210"/>
      <c r="AA29" s="210"/>
      <c r="AB29" s="46">
        <f t="shared" si="0"/>
        <v>3426443</v>
      </c>
      <c r="AC29" s="46">
        <f t="shared" si="0"/>
        <v>699700</v>
      </c>
      <c r="AD29" s="211"/>
      <c r="AE29" s="211"/>
      <c r="AF29" s="211">
        <f t="shared" si="5"/>
        <v>3426443</v>
      </c>
      <c r="AG29" s="211">
        <f t="shared" si="2"/>
        <v>699700</v>
      </c>
      <c r="AH29" s="211">
        <f t="shared" si="3"/>
        <v>3426443</v>
      </c>
      <c r="AI29" s="211">
        <f t="shared" si="4"/>
        <v>699700</v>
      </c>
      <c r="AJ29" s="61"/>
    </row>
    <row r="30" spans="1:36" ht="20.25" customHeight="1" x14ac:dyDescent="0.25">
      <c r="A30" s="54" t="s">
        <v>312</v>
      </c>
      <c r="B30" s="44" t="s">
        <v>205</v>
      </c>
      <c r="C30" s="204" t="s">
        <v>462</v>
      </c>
      <c r="D30" s="210"/>
      <c r="E30" s="210"/>
      <c r="F30" s="210"/>
      <c r="G30" s="210"/>
      <c r="H30" s="146">
        <f>600000+31000+137000</f>
        <v>768000</v>
      </c>
      <c r="I30" s="146">
        <v>240565</v>
      </c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146"/>
      <c r="Y30" s="146"/>
      <c r="Z30" s="210"/>
      <c r="AA30" s="210"/>
      <c r="AB30" s="46">
        <f t="shared" si="0"/>
        <v>768000</v>
      </c>
      <c r="AC30" s="46">
        <f t="shared" si="0"/>
        <v>240565</v>
      </c>
      <c r="AD30" s="211"/>
      <c r="AE30" s="211"/>
      <c r="AF30" s="211">
        <f t="shared" si="5"/>
        <v>768000</v>
      </c>
      <c r="AG30" s="211">
        <f t="shared" si="2"/>
        <v>240565</v>
      </c>
      <c r="AH30" s="211">
        <f t="shared" si="3"/>
        <v>768000</v>
      </c>
      <c r="AI30" s="211">
        <f t="shared" si="4"/>
        <v>240565</v>
      </c>
      <c r="AJ30" s="61"/>
    </row>
    <row r="31" spans="1:36" ht="20.25" customHeight="1" x14ac:dyDescent="0.25">
      <c r="A31" s="54" t="s">
        <v>313</v>
      </c>
      <c r="B31" s="44" t="s">
        <v>205</v>
      </c>
      <c r="C31" s="204" t="s">
        <v>456</v>
      </c>
      <c r="D31" s="210"/>
      <c r="E31" s="210"/>
      <c r="F31" s="210"/>
      <c r="G31" s="210"/>
      <c r="H31" s="146">
        <f>690000+80000</f>
        <v>770000</v>
      </c>
      <c r="I31" s="146">
        <v>132136</v>
      </c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146"/>
      <c r="Y31" s="146"/>
      <c r="Z31" s="210"/>
      <c r="AA31" s="210"/>
      <c r="AB31" s="46">
        <f t="shared" si="0"/>
        <v>770000</v>
      </c>
      <c r="AC31" s="46">
        <f t="shared" si="0"/>
        <v>132136</v>
      </c>
      <c r="AD31" s="211"/>
      <c r="AE31" s="211"/>
      <c r="AF31" s="211">
        <f t="shared" si="5"/>
        <v>770000</v>
      </c>
      <c r="AG31" s="211">
        <f t="shared" si="2"/>
        <v>132136</v>
      </c>
      <c r="AH31" s="211">
        <f t="shared" si="3"/>
        <v>770000</v>
      </c>
      <c r="AI31" s="211">
        <f t="shared" si="4"/>
        <v>132136</v>
      </c>
      <c r="AJ31" s="61"/>
    </row>
    <row r="32" spans="1:36" ht="20.25" customHeight="1" x14ac:dyDescent="0.25">
      <c r="A32" s="54" t="s">
        <v>314</v>
      </c>
      <c r="B32" s="44" t="s">
        <v>205</v>
      </c>
      <c r="C32" s="204" t="s">
        <v>469</v>
      </c>
      <c r="D32" s="210"/>
      <c r="E32" s="210"/>
      <c r="F32" s="210"/>
      <c r="G32" s="210"/>
      <c r="H32" s="146"/>
      <c r="I32" s="146"/>
      <c r="J32" s="210"/>
      <c r="K32" s="210"/>
      <c r="L32" s="210">
        <f>14627058</f>
        <v>14627058</v>
      </c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146"/>
      <c r="Y32" s="146"/>
      <c r="Z32" s="210"/>
      <c r="AA32" s="210"/>
      <c r="AB32" s="46">
        <f t="shared" si="0"/>
        <v>14627058</v>
      </c>
      <c r="AC32" s="46">
        <f t="shared" si="0"/>
        <v>0</v>
      </c>
      <c r="AD32" s="211"/>
      <c r="AE32" s="211"/>
      <c r="AF32" s="211">
        <f t="shared" si="5"/>
        <v>14627058</v>
      </c>
      <c r="AG32" s="211">
        <f t="shared" si="2"/>
        <v>0</v>
      </c>
      <c r="AH32" s="211">
        <f t="shared" si="3"/>
        <v>14627058</v>
      </c>
      <c r="AI32" s="211">
        <f t="shared" si="4"/>
        <v>0</v>
      </c>
      <c r="AJ32" s="61"/>
    </row>
    <row r="33" spans="1:36" ht="20.25" customHeight="1" x14ac:dyDescent="0.25">
      <c r="A33" s="54" t="s">
        <v>315</v>
      </c>
      <c r="B33" s="44" t="s">
        <v>205</v>
      </c>
      <c r="C33" s="204" t="s">
        <v>457</v>
      </c>
      <c r="D33" s="210"/>
      <c r="E33" s="210"/>
      <c r="F33" s="210"/>
      <c r="G33" s="210"/>
      <c r="H33" s="146">
        <v>609000</v>
      </c>
      <c r="I33" s="146">
        <v>291077</v>
      </c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146"/>
      <c r="Y33" s="146"/>
      <c r="Z33" s="210"/>
      <c r="AA33" s="210"/>
      <c r="AB33" s="46">
        <f t="shared" si="0"/>
        <v>609000</v>
      </c>
      <c r="AC33" s="46">
        <f t="shared" si="0"/>
        <v>291077</v>
      </c>
      <c r="AD33" s="211"/>
      <c r="AE33" s="211"/>
      <c r="AF33" s="211">
        <f t="shared" si="5"/>
        <v>609000</v>
      </c>
      <c r="AG33" s="211">
        <f t="shared" si="2"/>
        <v>291077</v>
      </c>
      <c r="AH33" s="211">
        <f t="shared" si="3"/>
        <v>609000</v>
      </c>
      <c r="AI33" s="211">
        <f t="shared" si="4"/>
        <v>291077</v>
      </c>
      <c r="AJ33" s="61"/>
    </row>
    <row r="34" spans="1:36" ht="20.25" customHeight="1" x14ac:dyDescent="0.25">
      <c r="A34" s="54" t="s">
        <v>316</v>
      </c>
      <c r="B34" s="44" t="s">
        <v>207</v>
      </c>
      <c r="C34" s="204" t="s">
        <v>458</v>
      </c>
      <c r="D34" s="210">
        <f>348800*2*12+1200000+348800*4</f>
        <v>10966400</v>
      </c>
      <c r="E34" s="210">
        <v>8375119</v>
      </c>
      <c r="F34" s="210">
        <f>D34*13%</f>
        <v>1425632</v>
      </c>
      <c r="G34" s="210">
        <v>839046</v>
      </c>
      <c r="H34" s="146">
        <f>27600000+130000+2600000+2470000+7700000+422000+20535000</f>
        <v>61457000</v>
      </c>
      <c r="I34" s="146">
        <v>35284731</v>
      </c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146"/>
      <c r="Y34" s="146"/>
      <c r="Z34" s="210"/>
      <c r="AA34" s="210"/>
      <c r="AB34" s="46">
        <f t="shared" si="0"/>
        <v>73849032</v>
      </c>
      <c r="AC34" s="46">
        <f t="shared" si="0"/>
        <v>44498896</v>
      </c>
      <c r="AD34" s="211"/>
      <c r="AE34" s="211"/>
      <c r="AF34" s="211">
        <f t="shared" si="5"/>
        <v>73849032</v>
      </c>
      <c r="AG34" s="211">
        <f t="shared" si="2"/>
        <v>44498896</v>
      </c>
      <c r="AH34" s="211">
        <f t="shared" si="3"/>
        <v>73849032</v>
      </c>
      <c r="AI34" s="211">
        <f t="shared" si="4"/>
        <v>44498896</v>
      </c>
      <c r="AJ34" s="61"/>
    </row>
    <row r="35" spans="1:36" ht="20.25" customHeight="1" x14ac:dyDescent="0.25">
      <c r="A35" s="54" t="s">
        <v>317</v>
      </c>
      <c r="B35" s="44" t="s">
        <v>207</v>
      </c>
      <c r="C35" s="204" t="s">
        <v>468</v>
      </c>
      <c r="D35" s="210"/>
      <c r="E35" s="210"/>
      <c r="F35" s="210"/>
      <c r="G35" s="210"/>
      <c r="H35" s="146"/>
      <c r="I35" s="146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>
        <v>2540000</v>
      </c>
      <c r="U35" s="210"/>
      <c r="V35" s="210"/>
      <c r="W35" s="210"/>
      <c r="X35" s="146"/>
      <c r="Y35" s="146"/>
      <c r="Z35" s="210"/>
      <c r="AA35" s="210"/>
      <c r="AB35" s="46">
        <f t="shared" si="0"/>
        <v>2540000</v>
      </c>
      <c r="AC35" s="46">
        <f t="shared" si="0"/>
        <v>0</v>
      </c>
      <c r="AD35" s="211"/>
      <c r="AE35" s="211"/>
      <c r="AF35" s="211">
        <f t="shared" si="5"/>
        <v>2540000</v>
      </c>
      <c r="AG35" s="211">
        <f t="shared" si="2"/>
        <v>0</v>
      </c>
      <c r="AH35" s="211">
        <f t="shared" si="3"/>
        <v>2540000</v>
      </c>
      <c r="AI35" s="211">
        <f t="shared" si="4"/>
        <v>0</v>
      </c>
      <c r="AJ35" s="61"/>
    </row>
    <row r="36" spans="1:36" ht="20.25" customHeight="1" x14ac:dyDescent="0.25">
      <c r="A36" s="54" t="s">
        <v>521</v>
      </c>
      <c r="B36" s="44" t="s">
        <v>207</v>
      </c>
      <c r="C36" s="204" t="s">
        <v>506</v>
      </c>
      <c r="D36" s="210"/>
      <c r="E36" s="210"/>
      <c r="F36" s="210"/>
      <c r="G36" s="210"/>
      <c r="H36" s="146">
        <v>5899046</v>
      </c>
      <c r="I36" s="146"/>
      <c r="J36" s="210"/>
      <c r="K36" s="210"/>
      <c r="L36" s="210"/>
      <c r="M36" s="210"/>
      <c r="N36" s="210"/>
      <c r="O36" s="210"/>
      <c r="P36" s="210"/>
      <c r="Q36" s="210">
        <v>5028067</v>
      </c>
      <c r="R36" s="210"/>
      <c r="S36" s="210"/>
      <c r="T36" s="210">
        <f>130810000+6935015+1409700</f>
        <v>139154715</v>
      </c>
      <c r="U36" s="210"/>
      <c r="V36" s="210"/>
      <c r="W36" s="210"/>
      <c r="X36" s="146"/>
      <c r="Y36" s="146"/>
      <c r="Z36" s="210"/>
      <c r="AA36" s="210"/>
      <c r="AB36" s="46">
        <f t="shared" ref="AB36:AB39" si="9">D36+F36+H36+J36+L36+N36+P36+R36+T36+V36+X36+Z36</f>
        <v>145053761</v>
      </c>
      <c r="AC36" s="46">
        <f t="shared" ref="AC36:AC39" si="10">E36+G36+I36+K36+M36+O36+Q36+S36+U36+W36+Y36+AA36</f>
        <v>5028067</v>
      </c>
      <c r="AD36" s="211"/>
      <c r="AE36" s="211"/>
      <c r="AF36" s="211">
        <f t="shared" ref="AF36:AF39" si="11">AB36+AD36</f>
        <v>145053761</v>
      </c>
      <c r="AG36" s="211">
        <f t="shared" si="2"/>
        <v>5028067</v>
      </c>
      <c r="AH36" s="211">
        <f t="shared" si="3"/>
        <v>145053761</v>
      </c>
      <c r="AI36" s="211">
        <f t="shared" si="4"/>
        <v>5028067</v>
      </c>
      <c r="AJ36" s="61"/>
    </row>
    <row r="37" spans="1:36" ht="20.25" customHeight="1" x14ac:dyDescent="0.25">
      <c r="A37" s="54" t="s">
        <v>321</v>
      </c>
      <c r="B37" s="44" t="s">
        <v>207</v>
      </c>
      <c r="C37" s="204" t="s">
        <v>507</v>
      </c>
      <c r="D37" s="210"/>
      <c r="E37" s="210"/>
      <c r="F37" s="210"/>
      <c r="G37" s="210"/>
      <c r="H37" s="146">
        <v>724482</v>
      </c>
      <c r="I37" s="146">
        <v>251755</v>
      </c>
      <c r="J37" s="210"/>
      <c r="K37" s="210"/>
      <c r="L37" s="210"/>
      <c r="M37" s="210"/>
      <c r="N37" s="210"/>
      <c r="O37" s="210"/>
      <c r="P37" s="210"/>
      <c r="Q37" s="210">
        <v>2356112</v>
      </c>
      <c r="R37" s="210"/>
      <c r="S37" s="210"/>
      <c r="T37" s="210"/>
      <c r="U37" s="210"/>
      <c r="V37" s="210">
        <v>48996600</v>
      </c>
      <c r="W37" s="210">
        <v>40980152</v>
      </c>
      <c r="X37" s="146"/>
      <c r="Y37" s="146"/>
      <c r="Z37" s="210"/>
      <c r="AA37" s="210"/>
      <c r="AB37" s="46">
        <f t="shared" si="9"/>
        <v>49721082</v>
      </c>
      <c r="AC37" s="46">
        <f t="shared" si="10"/>
        <v>43588019</v>
      </c>
      <c r="AD37" s="211"/>
      <c r="AE37" s="211"/>
      <c r="AF37" s="211">
        <f t="shared" si="11"/>
        <v>49721082</v>
      </c>
      <c r="AG37" s="211">
        <f t="shared" si="2"/>
        <v>43588019</v>
      </c>
      <c r="AH37" s="211">
        <f t="shared" si="3"/>
        <v>49721082</v>
      </c>
      <c r="AI37" s="211">
        <f t="shared" si="4"/>
        <v>43588019</v>
      </c>
      <c r="AJ37" s="61"/>
    </row>
    <row r="38" spans="1:36" ht="20.25" customHeight="1" x14ac:dyDescent="0.25">
      <c r="A38" s="54" t="s">
        <v>485</v>
      </c>
      <c r="B38" s="44" t="s">
        <v>207</v>
      </c>
      <c r="C38" s="204" t="s">
        <v>509</v>
      </c>
      <c r="D38" s="210"/>
      <c r="E38" s="210"/>
      <c r="F38" s="210"/>
      <c r="G38" s="210"/>
      <c r="H38" s="146">
        <f>1490581-170800</f>
        <v>1319781</v>
      </c>
      <c r="I38" s="146">
        <v>7815787</v>
      </c>
      <c r="J38" s="210"/>
      <c r="K38" s="210"/>
      <c r="L38" s="210"/>
      <c r="M38" s="210"/>
      <c r="N38" s="210"/>
      <c r="O38" s="210"/>
      <c r="P38" s="210"/>
      <c r="Q38" s="210">
        <v>3807013</v>
      </c>
      <c r="R38" s="210"/>
      <c r="S38" s="210"/>
      <c r="T38" s="210">
        <f>4961007</f>
        <v>4961007</v>
      </c>
      <c r="U38" s="210"/>
      <c r="V38" s="210">
        <v>74404149</v>
      </c>
      <c r="W38" s="210">
        <v>41986456</v>
      </c>
      <c r="X38" s="146"/>
      <c r="Y38" s="146"/>
      <c r="Z38" s="210"/>
      <c r="AA38" s="210"/>
      <c r="AB38" s="46">
        <f t="shared" si="9"/>
        <v>80684937</v>
      </c>
      <c r="AC38" s="46">
        <f t="shared" si="10"/>
        <v>53609256</v>
      </c>
      <c r="AD38" s="211"/>
      <c r="AE38" s="211"/>
      <c r="AF38" s="211">
        <f t="shared" si="11"/>
        <v>80684937</v>
      </c>
      <c r="AG38" s="211">
        <f t="shared" si="2"/>
        <v>53609256</v>
      </c>
      <c r="AH38" s="211">
        <f t="shared" si="3"/>
        <v>80684937</v>
      </c>
      <c r="AI38" s="211">
        <f t="shared" si="4"/>
        <v>53609256</v>
      </c>
      <c r="AJ38" s="61"/>
    </row>
    <row r="39" spans="1:36" ht="20.25" customHeight="1" x14ac:dyDescent="0.25">
      <c r="A39" s="54" t="s">
        <v>522</v>
      </c>
      <c r="B39" s="44" t="s">
        <v>207</v>
      </c>
      <c r="C39" s="204" t="s">
        <v>508</v>
      </c>
      <c r="D39" s="210"/>
      <c r="E39" s="210"/>
      <c r="F39" s="210"/>
      <c r="G39" s="210"/>
      <c r="H39" s="146"/>
      <c r="I39" s="146">
        <v>4516545</v>
      </c>
      <c r="J39" s="210"/>
      <c r="K39" s="210"/>
      <c r="L39" s="210"/>
      <c r="M39" s="210"/>
      <c r="N39" s="210"/>
      <c r="O39" s="210"/>
      <c r="P39" s="210">
        <f>667879+698500+260056</f>
        <v>1626435</v>
      </c>
      <c r="Q39" s="210"/>
      <c r="R39" s="210"/>
      <c r="S39" s="210"/>
      <c r="T39" s="210"/>
      <c r="U39" s="210"/>
      <c r="V39" s="210"/>
      <c r="W39" s="210"/>
      <c r="X39" s="146"/>
      <c r="Y39" s="146"/>
      <c r="Z39" s="210"/>
      <c r="AA39" s="210"/>
      <c r="AB39" s="46">
        <f t="shared" si="9"/>
        <v>1626435</v>
      </c>
      <c r="AC39" s="46">
        <f t="shared" si="10"/>
        <v>4516545</v>
      </c>
      <c r="AD39" s="211"/>
      <c r="AE39" s="211"/>
      <c r="AF39" s="211">
        <f t="shared" si="11"/>
        <v>1626435</v>
      </c>
      <c r="AG39" s="211">
        <f t="shared" si="2"/>
        <v>4516545</v>
      </c>
      <c r="AH39" s="211">
        <f t="shared" si="3"/>
        <v>1626435</v>
      </c>
      <c r="AI39" s="211">
        <f t="shared" si="4"/>
        <v>4516545</v>
      </c>
      <c r="AJ39" s="61"/>
    </row>
    <row r="40" spans="1:36" x14ac:dyDescent="0.25">
      <c r="A40" s="54" t="s">
        <v>322</v>
      </c>
      <c r="B40" s="44" t="s">
        <v>207</v>
      </c>
      <c r="C40" s="204" t="s">
        <v>475</v>
      </c>
      <c r="D40" s="210"/>
      <c r="E40" s="210"/>
      <c r="F40" s="210"/>
      <c r="G40" s="210"/>
      <c r="H40" s="146">
        <v>3847596</v>
      </c>
      <c r="I40" s="146">
        <v>754380</v>
      </c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>
        <v>345389427</v>
      </c>
      <c r="U40" s="210"/>
      <c r="V40" s="210"/>
      <c r="W40" s="210"/>
      <c r="X40" s="146"/>
      <c r="Y40" s="146"/>
      <c r="Z40" s="210"/>
      <c r="AA40" s="210"/>
      <c r="AB40" s="46">
        <f t="shared" ref="AB40" si="12">D40+F40+H40+J40+L40+N40+P40+R40+T40+V40+X40+Z40</f>
        <v>349237023</v>
      </c>
      <c r="AC40" s="46">
        <f>E40+G40+I40+K40+M40+O40+Q40+S40+U40+W40+Y40+AA40</f>
        <v>754380</v>
      </c>
      <c r="AD40" s="211"/>
      <c r="AE40" s="211"/>
      <c r="AF40" s="211">
        <f t="shared" ref="AF40:AF41" si="13">AB40+AD40</f>
        <v>349237023</v>
      </c>
      <c r="AG40" s="211">
        <f t="shared" si="2"/>
        <v>754380</v>
      </c>
      <c r="AH40" s="211">
        <f t="shared" si="3"/>
        <v>349237023</v>
      </c>
      <c r="AI40" s="211">
        <f t="shared" si="4"/>
        <v>754380</v>
      </c>
      <c r="AJ40" s="61"/>
    </row>
    <row r="41" spans="1:36" x14ac:dyDescent="0.25">
      <c r="A41" s="54" t="s">
        <v>486</v>
      </c>
      <c r="B41" s="44" t="s">
        <v>207</v>
      </c>
      <c r="C41" s="204" t="s">
        <v>476</v>
      </c>
      <c r="D41" s="210"/>
      <c r="E41" s="210"/>
      <c r="F41" s="210"/>
      <c r="G41" s="210"/>
      <c r="H41" s="146">
        <f>690485-50800</f>
        <v>639685</v>
      </c>
      <c r="I41" s="146">
        <v>4191293</v>
      </c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>
        <f>99725880+7195986</f>
        <v>106921866</v>
      </c>
      <c r="W41" s="210">
        <v>67238921</v>
      </c>
      <c r="X41" s="146"/>
      <c r="Y41" s="146"/>
      <c r="Z41" s="210"/>
      <c r="AA41" s="210"/>
      <c r="AB41" s="46">
        <f>D41+F41+H41+J41+L41+N41+P41+R41+T41+V41+X41+Z41</f>
        <v>107561551</v>
      </c>
      <c r="AC41" s="46">
        <f>E41+G41+I41+K41+M41+O41+Q41+S41+U41+W41+Y41+AA41</f>
        <v>71430214</v>
      </c>
      <c r="AD41" s="211"/>
      <c r="AE41" s="211"/>
      <c r="AF41" s="211">
        <f t="shared" si="13"/>
        <v>107561551</v>
      </c>
      <c r="AG41" s="211">
        <f t="shared" si="2"/>
        <v>71430214</v>
      </c>
      <c r="AH41" s="211">
        <f t="shared" si="3"/>
        <v>107561551</v>
      </c>
      <c r="AI41" s="211">
        <f t="shared" si="4"/>
        <v>71430214</v>
      </c>
      <c r="AJ41" s="61"/>
    </row>
    <row r="42" spans="1:36" ht="25.5" x14ac:dyDescent="0.25">
      <c r="A42" s="54" t="s">
        <v>523</v>
      </c>
      <c r="B42" s="44" t="s">
        <v>207</v>
      </c>
      <c r="C42" s="204" t="s">
        <v>585</v>
      </c>
      <c r="D42" s="210"/>
      <c r="E42" s="210"/>
      <c r="F42" s="210"/>
      <c r="G42" s="210"/>
      <c r="H42" s="146">
        <v>902709</v>
      </c>
      <c r="I42" s="146">
        <v>1755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>
        <v>11993143</v>
      </c>
      <c r="W42" s="210">
        <v>3602497</v>
      </c>
      <c r="X42" s="146"/>
      <c r="Y42" s="146"/>
      <c r="Z42" s="210"/>
      <c r="AA42" s="210"/>
      <c r="AB42" s="46">
        <f>D42+F42+H42+J42+L42+N42+P42+R42+T42+V42+X42+Z42</f>
        <v>12895852</v>
      </c>
      <c r="AC42" s="46">
        <f>E42+G42+I42+K42+M42+O42+Q42+S42+U42+W42+Y42+AA42</f>
        <v>3604252</v>
      </c>
      <c r="AD42" s="211"/>
      <c r="AE42" s="211"/>
      <c r="AF42" s="211">
        <f>AB42+AD42</f>
        <v>12895852</v>
      </c>
      <c r="AG42" s="211">
        <f t="shared" si="2"/>
        <v>3604252</v>
      </c>
      <c r="AH42" s="211">
        <f t="shared" si="3"/>
        <v>12895852</v>
      </c>
      <c r="AI42" s="211">
        <f t="shared" si="4"/>
        <v>3604252</v>
      </c>
      <c r="AJ42" s="61"/>
    </row>
    <row r="43" spans="1:36" x14ac:dyDescent="0.25">
      <c r="A43" s="54" t="s">
        <v>459</v>
      </c>
      <c r="B43" s="44" t="s">
        <v>207</v>
      </c>
      <c r="C43" s="204" t="s">
        <v>572</v>
      </c>
      <c r="D43" s="210"/>
      <c r="E43" s="210"/>
      <c r="F43" s="210"/>
      <c r="G43" s="210"/>
      <c r="H43" s="146"/>
      <c r="I43" s="146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>
        <v>2540000</v>
      </c>
      <c r="X43" s="146"/>
      <c r="Y43" s="146"/>
      <c r="Z43" s="210"/>
      <c r="AA43" s="210"/>
      <c r="AB43" s="46">
        <f>D43+F43+H43+J43+L43+N43+P43+R43+T43+V43+X43+Z43</f>
        <v>0</v>
      </c>
      <c r="AC43" s="46">
        <f>E43+G43+I43+K43+M43+O43+Q43+S43+U43+W43+Y43+AA43</f>
        <v>2540000</v>
      </c>
      <c r="AD43" s="211"/>
      <c r="AE43" s="211"/>
      <c r="AF43" s="211">
        <f>AB43+AD43</f>
        <v>0</v>
      </c>
      <c r="AG43" s="211">
        <f t="shared" si="2"/>
        <v>2540000</v>
      </c>
      <c r="AH43" s="211"/>
      <c r="AI43" s="211"/>
      <c r="AJ43" s="61"/>
    </row>
    <row r="44" spans="1:36" ht="27" customHeight="1" x14ac:dyDescent="0.25">
      <c r="A44" s="54" t="s">
        <v>487</v>
      </c>
      <c r="B44" s="44" t="s">
        <v>207</v>
      </c>
      <c r="C44" s="204" t="s">
        <v>501</v>
      </c>
      <c r="D44" s="210"/>
      <c r="E44" s="210"/>
      <c r="F44" s="210"/>
      <c r="G44" s="210"/>
      <c r="H44" s="146">
        <v>1060574</v>
      </c>
      <c r="I44" s="146"/>
      <c r="J44" s="210"/>
      <c r="K44" s="210"/>
      <c r="L44" s="210"/>
      <c r="M44" s="210"/>
      <c r="N44" s="210">
        <v>15066000</v>
      </c>
      <c r="O44" s="210"/>
      <c r="P44" s="210"/>
      <c r="Q44" s="210"/>
      <c r="R44" s="210"/>
      <c r="S44" s="210"/>
      <c r="T44" s="210"/>
      <c r="U44" s="210"/>
      <c r="V44" s="210"/>
      <c r="W44" s="210"/>
      <c r="X44" s="146"/>
      <c r="Y44" s="146"/>
      <c r="Z44" s="210"/>
      <c r="AA44" s="210"/>
      <c r="AB44" s="46">
        <f t="shared" ref="AB44" si="14">D44+F44+H44+J44+L44+N44+P44+R44+T44+V44+X44+Z44</f>
        <v>16126574</v>
      </c>
      <c r="AC44" s="46">
        <f t="shared" ref="AC44" si="15">E44+G44+I44+K44+M44+O44+Q44+S44+U44+W44+Y44+AA44</f>
        <v>0</v>
      </c>
      <c r="AD44" s="211"/>
      <c r="AE44" s="211"/>
      <c r="AF44" s="211">
        <f t="shared" ref="AF44" si="16">AB44+AD44</f>
        <v>16126574</v>
      </c>
      <c r="AG44" s="211">
        <f t="shared" si="2"/>
        <v>0</v>
      </c>
      <c r="AH44" s="211">
        <f t="shared" si="3"/>
        <v>16126574</v>
      </c>
      <c r="AI44" s="211">
        <f t="shared" si="4"/>
        <v>0</v>
      </c>
      <c r="AJ44" s="61"/>
    </row>
    <row r="45" spans="1:36" ht="27" customHeight="1" x14ac:dyDescent="0.25">
      <c r="A45" s="54" t="s">
        <v>488</v>
      </c>
      <c r="B45" s="44" t="s">
        <v>207</v>
      </c>
      <c r="C45" s="204" t="s">
        <v>510</v>
      </c>
      <c r="D45" s="210"/>
      <c r="E45" s="210"/>
      <c r="F45" s="210"/>
      <c r="G45" s="210"/>
      <c r="H45" s="146"/>
      <c r="I45" s="146"/>
      <c r="J45" s="210"/>
      <c r="K45" s="210"/>
      <c r="L45" s="210"/>
      <c r="M45" s="210"/>
      <c r="N45" s="210">
        <v>51008148</v>
      </c>
      <c r="O45" s="210"/>
      <c r="P45" s="210"/>
      <c r="Q45" s="210"/>
      <c r="R45" s="210"/>
      <c r="S45" s="210"/>
      <c r="T45" s="210"/>
      <c r="U45" s="210"/>
      <c r="V45" s="210"/>
      <c r="W45" s="210"/>
      <c r="X45" s="146"/>
      <c r="Y45" s="146"/>
      <c r="Z45" s="210"/>
      <c r="AA45" s="210"/>
      <c r="AB45" s="46">
        <f t="shared" ref="AB45:AB49" si="17">D45+F45+H45+J45+L45+N45+P45+R45+T45+V45+X45+Z45</f>
        <v>51008148</v>
      </c>
      <c r="AC45" s="46">
        <f t="shared" ref="AC45:AC49" si="18">E45+G45+I45+K45+M45+O45+Q45+S45+U45+W45+Y45+AA45</f>
        <v>0</v>
      </c>
      <c r="AD45" s="211"/>
      <c r="AE45" s="211"/>
      <c r="AF45" s="211">
        <f t="shared" ref="AF45:AF49" si="19">AB45+AD45</f>
        <v>51008148</v>
      </c>
      <c r="AG45" s="211">
        <f t="shared" si="2"/>
        <v>0</v>
      </c>
      <c r="AH45" s="211">
        <f t="shared" si="3"/>
        <v>51008148</v>
      </c>
      <c r="AI45" s="211">
        <f t="shared" si="4"/>
        <v>0</v>
      </c>
      <c r="AJ45" s="61"/>
    </row>
    <row r="46" spans="1:36" ht="27" customHeight="1" x14ac:dyDescent="0.25">
      <c r="A46" s="54"/>
      <c r="B46" s="44" t="s">
        <v>207</v>
      </c>
      <c r="C46" s="204" t="s">
        <v>586</v>
      </c>
      <c r="D46" s="210"/>
      <c r="E46" s="210"/>
      <c r="F46" s="210"/>
      <c r="G46" s="210"/>
      <c r="H46" s="146"/>
      <c r="I46" s="146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146"/>
      <c r="Y46" s="146"/>
      <c r="Z46" s="210"/>
      <c r="AA46" s="210"/>
      <c r="AB46" s="46">
        <f t="shared" si="17"/>
        <v>0</v>
      </c>
      <c r="AC46" s="46">
        <f t="shared" si="18"/>
        <v>0</v>
      </c>
      <c r="AD46" s="211"/>
      <c r="AE46" s="211"/>
      <c r="AF46" s="211">
        <f t="shared" si="19"/>
        <v>0</v>
      </c>
      <c r="AG46" s="211">
        <f t="shared" si="2"/>
        <v>0</v>
      </c>
      <c r="AH46" s="211"/>
      <c r="AI46" s="211"/>
      <c r="AJ46" s="61"/>
    </row>
    <row r="47" spans="1:36" ht="27" customHeight="1" x14ac:dyDescent="0.25">
      <c r="A47" s="54"/>
      <c r="B47" s="44" t="s">
        <v>205</v>
      </c>
      <c r="C47" s="204" t="s">
        <v>587</v>
      </c>
      <c r="D47" s="210"/>
      <c r="E47" s="210">
        <v>763087</v>
      </c>
      <c r="F47" s="210"/>
      <c r="G47" s="210">
        <v>38525</v>
      </c>
      <c r="H47" s="146"/>
      <c r="I47" s="146">
        <v>6104782</v>
      </c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>
        <v>406400</v>
      </c>
      <c r="V47" s="210"/>
      <c r="W47" s="210"/>
      <c r="X47" s="146"/>
      <c r="Y47" s="146"/>
      <c r="Z47" s="210"/>
      <c r="AA47" s="210"/>
      <c r="AB47" s="46">
        <f t="shared" si="17"/>
        <v>0</v>
      </c>
      <c r="AC47" s="46">
        <f t="shared" si="18"/>
        <v>7312794</v>
      </c>
      <c r="AD47" s="211"/>
      <c r="AE47" s="211"/>
      <c r="AF47" s="211">
        <f t="shared" si="19"/>
        <v>0</v>
      </c>
      <c r="AG47" s="211">
        <f t="shared" si="2"/>
        <v>7312794</v>
      </c>
      <c r="AH47" s="211"/>
      <c r="AI47" s="211"/>
      <c r="AJ47" s="61"/>
    </row>
    <row r="48" spans="1:36" ht="27" customHeight="1" x14ac:dyDescent="0.25">
      <c r="A48" s="54"/>
      <c r="B48" s="44" t="s">
        <v>207</v>
      </c>
      <c r="C48" s="204" t="s">
        <v>588</v>
      </c>
      <c r="D48" s="210"/>
      <c r="E48" s="210"/>
      <c r="F48" s="210"/>
      <c r="G48" s="210"/>
      <c r="H48" s="146"/>
      <c r="I48" s="146"/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146"/>
      <c r="Y48" s="146"/>
      <c r="Z48" s="210"/>
      <c r="AA48" s="210"/>
      <c r="AB48" s="46">
        <f t="shared" si="17"/>
        <v>0</v>
      </c>
      <c r="AC48" s="46">
        <f t="shared" si="18"/>
        <v>0</v>
      </c>
      <c r="AD48" s="211"/>
      <c r="AE48" s="211"/>
      <c r="AF48" s="211">
        <f t="shared" si="19"/>
        <v>0</v>
      </c>
      <c r="AG48" s="211">
        <f t="shared" si="2"/>
        <v>0</v>
      </c>
      <c r="AH48" s="211"/>
      <c r="AI48" s="211"/>
      <c r="AJ48" s="61"/>
    </row>
    <row r="49" spans="1:36" ht="27" customHeight="1" x14ac:dyDescent="0.25">
      <c r="A49" s="54"/>
      <c r="B49" s="44" t="s">
        <v>207</v>
      </c>
      <c r="C49" s="204" t="s">
        <v>589</v>
      </c>
      <c r="D49" s="210"/>
      <c r="E49" s="210"/>
      <c r="F49" s="210"/>
      <c r="G49" s="210"/>
      <c r="H49" s="146"/>
      <c r="I49" s="146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146"/>
      <c r="Y49" s="146"/>
      <c r="Z49" s="210"/>
      <c r="AA49" s="210"/>
      <c r="AB49" s="46">
        <f t="shared" si="17"/>
        <v>0</v>
      </c>
      <c r="AC49" s="46">
        <f t="shared" si="18"/>
        <v>0</v>
      </c>
      <c r="AD49" s="211"/>
      <c r="AE49" s="211"/>
      <c r="AF49" s="211">
        <f t="shared" si="19"/>
        <v>0</v>
      </c>
      <c r="AG49" s="211">
        <f t="shared" si="2"/>
        <v>0</v>
      </c>
      <c r="AH49" s="211"/>
      <c r="AI49" s="211"/>
      <c r="AJ49" s="61"/>
    </row>
    <row r="50" spans="1:36" ht="15.75" x14ac:dyDescent="0.25">
      <c r="A50" s="54" t="s">
        <v>323</v>
      </c>
      <c r="B50" s="44"/>
      <c r="C50" s="55" t="s">
        <v>227</v>
      </c>
      <c r="D50" s="46">
        <f>SUM(D6:D49)</f>
        <v>149869388</v>
      </c>
      <c r="E50" s="46">
        <f t="shared" ref="E50:AG50" si="20">SUM(E6:E49)</f>
        <v>159804793</v>
      </c>
      <c r="F50" s="46">
        <f t="shared" si="20"/>
        <v>14007167.200000001</v>
      </c>
      <c r="G50" s="46">
        <f t="shared" si="20"/>
        <v>14363546</v>
      </c>
      <c r="H50" s="46">
        <f t="shared" si="20"/>
        <v>238543897</v>
      </c>
      <c r="I50" s="46">
        <f>SUM(I6:I49)</f>
        <v>226422294</v>
      </c>
      <c r="J50" s="46">
        <f t="shared" si="20"/>
        <v>3900000</v>
      </c>
      <c r="K50" s="46">
        <f t="shared" si="20"/>
        <v>1942870</v>
      </c>
      <c r="L50" s="46">
        <f t="shared" si="20"/>
        <v>24801170</v>
      </c>
      <c r="M50" s="46">
        <f t="shared" si="20"/>
        <v>12034055</v>
      </c>
      <c r="N50" s="46">
        <f t="shared" si="20"/>
        <v>68720591</v>
      </c>
      <c r="O50" s="46">
        <f t="shared" si="20"/>
        <v>492500</v>
      </c>
      <c r="P50" s="46">
        <f t="shared" si="20"/>
        <v>1626435</v>
      </c>
      <c r="Q50" s="46">
        <f t="shared" si="20"/>
        <v>11191192</v>
      </c>
      <c r="R50" s="46">
        <f t="shared" si="20"/>
        <v>27830638</v>
      </c>
      <c r="S50" s="46">
        <f t="shared" si="20"/>
        <v>23622879</v>
      </c>
      <c r="T50" s="46">
        <f t="shared" si="20"/>
        <v>502175197</v>
      </c>
      <c r="U50" s="46">
        <f t="shared" si="20"/>
        <v>3386228</v>
      </c>
      <c r="V50" s="46">
        <f t="shared" si="20"/>
        <v>244315758</v>
      </c>
      <c r="W50" s="46">
        <f t="shared" si="20"/>
        <v>158401995</v>
      </c>
      <c r="X50" s="46">
        <f t="shared" si="20"/>
        <v>5000000</v>
      </c>
      <c r="Y50" s="46">
        <f t="shared" si="20"/>
        <v>118173099</v>
      </c>
      <c r="Z50" s="46">
        <f t="shared" si="20"/>
        <v>83801763</v>
      </c>
      <c r="AA50" s="46">
        <f t="shared" si="20"/>
        <v>322209087</v>
      </c>
      <c r="AB50" s="46">
        <f t="shared" si="20"/>
        <v>1364592004.2</v>
      </c>
      <c r="AC50" s="46">
        <f t="shared" si="20"/>
        <v>1052044538</v>
      </c>
      <c r="AD50" s="46">
        <f t="shared" si="20"/>
        <v>0</v>
      </c>
      <c r="AE50" s="46">
        <f t="shared" si="20"/>
        <v>0</v>
      </c>
      <c r="AF50" s="46">
        <f t="shared" si="20"/>
        <v>1364592004.2</v>
      </c>
      <c r="AG50" s="46">
        <f t="shared" si="20"/>
        <v>1052044538</v>
      </c>
      <c r="AH50" s="46">
        <f>SUM(AH6:AH45)</f>
        <v>1364592004.2</v>
      </c>
      <c r="AI50" s="46">
        <f>SUM(AI6:AI45)</f>
        <v>1042191744</v>
      </c>
      <c r="AJ50" s="61"/>
    </row>
    <row r="51" spans="1:36" ht="15.75" x14ac:dyDescent="0.25">
      <c r="A51" s="54" t="s">
        <v>324</v>
      </c>
      <c r="B51" s="44"/>
      <c r="C51" s="55" t="s">
        <v>278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20"/>
      <c r="AH51" s="221"/>
      <c r="AI51" s="221"/>
      <c r="AJ51" s="61"/>
    </row>
    <row r="52" spans="1:36" ht="15.75" x14ac:dyDescent="0.25">
      <c r="A52" s="54" t="s">
        <v>325</v>
      </c>
      <c r="B52" s="54"/>
      <c r="C52" s="222" t="s">
        <v>279</v>
      </c>
      <c r="D52" s="112">
        <v>1</v>
      </c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223"/>
      <c r="AH52" s="224"/>
      <c r="AI52" s="224"/>
      <c r="AJ52" s="61"/>
    </row>
    <row r="53" spans="1:36" ht="15.75" x14ac:dyDescent="0.25">
      <c r="A53" s="54" t="s">
        <v>326</v>
      </c>
      <c r="B53" s="54"/>
      <c r="C53" s="222" t="s">
        <v>280</v>
      </c>
      <c r="D53" s="112">
        <v>6</v>
      </c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223"/>
      <c r="AH53" s="224"/>
      <c r="AI53" s="224"/>
      <c r="AJ53" s="61"/>
    </row>
    <row r="54" spans="1:36" ht="15.75" x14ac:dyDescent="0.25">
      <c r="A54" s="54" t="s">
        <v>327</v>
      </c>
      <c r="B54" s="54"/>
      <c r="C54" s="222" t="s">
        <v>386</v>
      </c>
      <c r="D54" s="112">
        <v>0</v>
      </c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223"/>
      <c r="AH54" s="224"/>
      <c r="AI54" s="224"/>
      <c r="AJ54" s="61"/>
    </row>
    <row r="55" spans="1:36" ht="15.75" x14ac:dyDescent="0.25">
      <c r="A55" s="54" t="s">
        <v>328</v>
      </c>
      <c r="B55" s="54"/>
      <c r="C55" s="222" t="s">
        <v>386</v>
      </c>
      <c r="D55" s="112">
        <v>51</v>
      </c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223"/>
      <c r="AH55" s="224"/>
      <c r="AI55" s="224"/>
      <c r="AJ55" s="61"/>
    </row>
    <row r="56" spans="1:36" ht="15.75" x14ac:dyDescent="0.25">
      <c r="A56" s="54" t="s">
        <v>329</v>
      </c>
      <c r="B56" s="54"/>
      <c r="C56" s="222" t="s">
        <v>385</v>
      </c>
      <c r="D56" s="112">
        <v>0</v>
      </c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223"/>
      <c r="AH56" s="224"/>
      <c r="AI56" s="224"/>
      <c r="AJ56" s="61"/>
    </row>
    <row r="57" spans="1:36" ht="15.75" x14ac:dyDescent="0.25">
      <c r="A57" s="54" t="s">
        <v>330</v>
      </c>
      <c r="B57" s="54"/>
      <c r="C57" s="222" t="s">
        <v>385</v>
      </c>
      <c r="D57" s="112">
        <v>11</v>
      </c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223"/>
      <c r="AH57" s="224"/>
      <c r="AI57" s="224"/>
      <c r="AJ57" s="61"/>
    </row>
    <row r="58" spans="1:36" ht="15.75" x14ac:dyDescent="0.25">
      <c r="A58" s="54" t="s">
        <v>331</v>
      </c>
      <c r="B58" s="54"/>
      <c r="C58" s="222" t="s">
        <v>384</v>
      </c>
      <c r="D58" s="112">
        <v>3</v>
      </c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223"/>
      <c r="AH58" s="224"/>
      <c r="AI58" s="224"/>
      <c r="AJ58" s="61"/>
    </row>
    <row r="59" spans="1:36" s="59" customFormat="1" ht="15.75" x14ac:dyDescent="0.25">
      <c r="A59" s="54" t="s">
        <v>332</v>
      </c>
      <c r="B59" s="73"/>
      <c r="C59" s="225" t="s">
        <v>191</v>
      </c>
      <c r="D59" s="46">
        <f>SUM(D52:D58)</f>
        <v>72</v>
      </c>
      <c r="E59" s="46">
        <f>SUM(E52:E58)</f>
        <v>0</v>
      </c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20"/>
      <c r="AH59" s="221"/>
      <c r="AI59" s="221"/>
      <c r="AJ59" s="61"/>
    </row>
    <row r="60" spans="1:36" ht="15.75" x14ac:dyDescent="0.25">
      <c r="A60" s="54" t="s">
        <v>333</v>
      </c>
      <c r="B60" s="54"/>
      <c r="C60" s="226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223"/>
      <c r="AH60" s="224"/>
      <c r="AI60" s="224"/>
      <c r="AJ60" s="61"/>
    </row>
    <row r="61" spans="1:36" x14ac:dyDescent="0.25">
      <c r="A61" s="54" t="s">
        <v>334</v>
      </c>
      <c r="B61" s="44"/>
      <c r="C61" s="58" t="s">
        <v>215</v>
      </c>
      <c r="D61" s="109">
        <f>D6+D7+D8+D9+D10+D11+D12+D14+D15+D16+D17+D18+D19+D20+D22+D24+D25+D26+D27+D31+D33+D21+D28+D32+D30+D23+D47</f>
        <v>137902988</v>
      </c>
      <c r="E61" s="109">
        <f t="shared" ref="E61:AA61" si="21">E6+E7+E8+E9+E10+E11+E12+E14+E15+E16+E17+E18+E19+E20+E22+E24+E25+E26+E27+E31+E33+E21+E28+E32+E30+E23+E47</f>
        <v>150997174</v>
      </c>
      <c r="F61" s="109">
        <f t="shared" si="21"/>
        <v>12581535.200000001</v>
      </c>
      <c r="G61" s="109">
        <f t="shared" si="21"/>
        <v>13524500</v>
      </c>
      <c r="H61" s="109">
        <f t="shared" si="21"/>
        <v>162193024</v>
      </c>
      <c r="I61" s="109">
        <f t="shared" si="21"/>
        <v>173501348</v>
      </c>
      <c r="J61" s="109">
        <f t="shared" si="21"/>
        <v>3900000</v>
      </c>
      <c r="K61" s="109">
        <f t="shared" si="21"/>
        <v>1942870</v>
      </c>
      <c r="L61" s="109">
        <f t="shared" si="21"/>
        <v>24801170</v>
      </c>
      <c r="M61" s="109">
        <f t="shared" si="21"/>
        <v>12034055</v>
      </c>
      <c r="N61" s="109">
        <f t="shared" si="21"/>
        <v>0</v>
      </c>
      <c r="O61" s="109">
        <f t="shared" si="21"/>
        <v>0</v>
      </c>
      <c r="P61" s="109">
        <f t="shared" si="21"/>
        <v>0</v>
      </c>
      <c r="Q61" s="109">
        <f t="shared" si="21"/>
        <v>0</v>
      </c>
      <c r="R61" s="109">
        <f t="shared" si="21"/>
        <v>27830638</v>
      </c>
      <c r="S61" s="109">
        <f t="shared" si="21"/>
        <v>23622879</v>
      </c>
      <c r="T61" s="109">
        <f t="shared" si="21"/>
        <v>10130048</v>
      </c>
      <c r="U61" s="109">
        <f t="shared" si="21"/>
        <v>3386228</v>
      </c>
      <c r="V61" s="109">
        <f>V6+V7+V8+V9+V10+V11+V12+V14+V15+V16+V17+V18+V19+V20+V22+V24+V25+V26+V27+V31+V33+V21+V28+V32+V30+V23+V47</f>
        <v>2000000</v>
      </c>
      <c r="W61" s="109">
        <f t="shared" si="21"/>
        <v>2053969</v>
      </c>
      <c r="X61" s="109">
        <f t="shared" si="21"/>
        <v>5000000</v>
      </c>
      <c r="Y61" s="109">
        <f>Y6+Y7+Y8+Y9+Y10+Y11+Y12+Y14+Y15+Y16+Y17+Y18+Y19+Y20+Y22+Y24+Y25+Y26+Y27+Y31+Y33+Y21+Y28+Y32+Y30+Y23+Y47</f>
        <v>118173099</v>
      </c>
      <c r="Z61" s="109">
        <f t="shared" si="21"/>
        <v>83801763</v>
      </c>
      <c r="AA61" s="109">
        <f t="shared" si="21"/>
        <v>322209087</v>
      </c>
      <c r="AB61" s="109">
        <f>AB6+AB7+AB8+AB9+AB10+AB11+AB12+AB14+AB15+AB16+AB17+AB18+AB19+AB20+AB22+AB24+AB25+AB26+AB27+AB31+AB33+AB21+AB28+AB32+AB30+AB23+AB47</f>
        <v>470141166.20000005</v>
      </c>
      <c r="AC61" s="109">
        <f>AC6+AC7+AC8+AC9+AC10+AC11+AC12+AC14+AC15+AC16+AC17+AC18+AC19+AC20+AC22+AC24+AC25+AC26+AC27+AC31+AC33+AC21+AC28+AC32+AC30+AC23+AC47</f>
        <v>821445209</v>
      </c>
      <c r="AD61" s="109">
        <f t="shared" ref="AD61:AG61" si="22">AD6+AD7+AD8+AD9+AD10+AD11+AD12+AD14+AD15+AD16+AD17+AD18+AD19+AD20+AD22+AD24+AD25+AD26+AD27+AD31+AD33+AD21+AD28+AD32+AD30+AD23+AD47</f>
        <v>0</v>
      </c>
      <c r="AE61" s="109">
        <f t="shared" si="22"/>
        <v>0</v>
      </c>
      <c r="AF61" s="109">
        <f t="shared" si="22"/>
        <v>470141166.20000005</v>
      </c>
      <c r="AG61" s="109">
        <f t="shared" si="22"/>
        <v>821445209</v>
      </c>
      <c r="AH61" s="109" t="e">
        <f>AH6+AH7+AH8+AH9+AH10+AH11+AH12+AH14+AH15+#REF!+AH16+AH17+AH18+AH19+AH20+AH22+AH24+AH25+AH26+AH27+#REF!+AH31+AH33+AH21+AH28+AH32+AH30</f>
        <v>#REF!</v>
      </c>
      <c r="AI61" s="109" t="e">
        <f>AI6+AI7+AI8+AI9+AI10+AI11+AI12+AI14+AI15+#REF!+AI16+AI17+AI18+AI19+AI20+AI22+AI24+AI25+AI26+AI27+#REF!+AI31+AI33+AI21+AI28+AI32+AI30</f>
        <v>#REF!</v>
      </c>
      <c r="AJ61" s="61"/>
    </row>
    <row r="62" spans="1:36" x14ac:dyDescent="0.25">
      <c r="A62" s="54" t="s">
        <v>335</v>
      </c>
      <c r="B62" s="44"/>
      <c r="C62" s="109" t="s">
        <v>216</v>
      </c>
      <c r="D62" s="109">
        <f>D13+D29+D34+D35+D36+D37+D38+D39+D40+D41+D44+D45+D46+D48+D49</f>
        <v>11966400</v>
      </c>
      <c r="E62" s="109">
        <f t="shared" ref="E62:AG62" si="23">E13+E29+E34+E35+E36+E37+E38+E39+E40+E41+E44+E45+E46+E48+E49</f>
        <v>8807619</v>
      </c>
      <c r="F62" s="109">
        <f t="shared" si="23"/>
        <v>1425632</v>
      </c>
      <c r="G62" s="109">
        <f t="shared" si="23"/>
        <v>839046</v>
      </c>
      <c r="H62" s="109">
        <f>H13+H29+H34+H35+H36+H37+H38+H39+H40+H41+H44+H45+H46+H48+H49+H42</f>
        <v>76350873</v>
      </c>
      <c r="I62" s="109">
        <f>I13+I29+I34+I35+I36+I37+I38+I39+I40+I41+I44+I45+I46+I48+I49+I42</f>
        <v>52920946</v>
      </c>
      <c r="J62" s="109">
        <f t="shared" si="23"/>
        <v>0</v>
      </c>
      <c r="K62" s="109">
        <f t="shared" si="23"/>
        <v>0</v>
      </c>
      <c r="L62" s="109">
        <f t="shared" si="23"/>
        <v>0</v>
      </c>
      <c r="M62" s="109">
        <f t="shared" si="23"/>
        <v>0</v>
      </c>
      <c r="N62" s="109">
        <f t="shared" si="23"/>
        <v>68720591</v>
      </c>
      <c r="O62" s="109">
        <f t="shared" si="23"/>
        <v>492500</v>
      </c>
      <c r="P62" s="109">
        <f t="shared" si="23"/>
        <v>1626435</v>
      </c>
      <c r="Q62" s="109">
        <f t="shared" si="23"/>
        <v>11191192</v>
      </c>
      <c r="R62" s="109">
        <f t="shared" si="23"/>
        <v>0</v>
      </c>
      <c r="S62" s="109">
        <f t="shared" si="23"/>
        <v>0</v>
      </c>
      <c r="T62" s="109">
        <f t="shared" si="23"/>
        <v>492045149</v>
      </c>
      <c r="U62" s="109">
        <f t="shared" si="23"/>
        <v>0</v>
      </c>
      <c r="V62" s="109">
        <f>V13+V29+V34+V35+V36+V37+V38+V39+V40+V41+V44+V45+V46+V48+V49+V42</f>
        <v>242315758</v>
      </c>
      <c r="W62" s="109">
        <f>W13+W29+W34+W35+W36+W37+W38+W39+W40+W41+W44+W45+W46+W48+W49+W42+W43</f>
        <v>156348026</v>
      </c>
      <c r="X62" s="109">
        <f t="shared" si="23"/>
        <v>0</v>
      </c>
      <c r="Y62" s="109">
        <f>Y13+Y29+Y34+Y35+Y36+Y37+Y38+Y39+Y40+Y41+Y44+Y45+Y46+Y48+Y49+Y42</f>
        <v>0</v>
      </c>
      <c r="Z62" s="109">
        <f t="shared" si="23"/>
        <v>0</v>
      </c>
      <c r="AA62" s="109">
        <f t="shared" si="23"/>
        <v>0</v>
      </c>
      <c r="AB62" s="109">
        <f>AB13+AB29+AB34+AB35+AB36+AB37+AB38+AB39+AB40+AB41+AB44+AB45+AB46+AB48+AB49+AB42</f>
        <v>894450838</v>
      </c>
      <c r="AC62" s="109">
        <f>AC13+AC29+AC34+AC35+AC36+AC37+AC38+AC39+AC40+AC41+AC44+AC45+AC46+AC48+AC49+AC43+AC42</f>
        <v>230599329</v>
      </c>
      <c r="AD62" s="109">
        <f t="shared" si="23"/>
        <v>0</v>
      </c>
      <c r="AE62" s="109">
        <f t="shared" si="23"/>
        <v>0</v>
      </c>
      <c r="AF62" s="109">
        <f t="shared" si="23"/>
        <v>881554986</v>
      </c>
      <c r="AG62" s="109">
        <f t="shared" si="23"/>
        <v>224455077</v>
      </c>
      <c r="AH62" s="109" t="e">
        <f>AH13+AH29+AH34+#REF!+#REF!+#REF!++#REF!++AH35+AH40+AH41+#REF!+AH44</f>
        <v>#REF!</v>
      </c>
      <c r="AI62" s="109" t="e">
        <f>AI13+AI29+AI34+#REF!+#REF!+#REF!++#REF!++AI35+AI40+AI41+#REF!+AI44</f>
        <v>#REF!</v>
      </c>
      <c r="AJ62" s="61"/>
    </row>
    <row r="63" spans="1:36" s="59" customFormat="1" x14ac:dyDescent="0.25">
      <c r="A63" s="54" t="s">
        <v>336</v>
      </c>
      <c r="B63" s="212"/>
      <c r="C63" s="227" t="s">
        <v>268</v>
      </c>
      <c r="D63" s="213">
        <f t="shared" ref="D63:AE63" si="24">SUM(D64:D65)</f>
        <v>177767000</v>
      </c>
      <c r="E63" s="213">
        <f t="shared" si="24"/>
        <v>171326782</v>
      </c>
      <c r="F63" s="213">
        <f t="shared" si="24"/>
        <v>23769790</v>
      </c>
      <c r="G63" s="213">
        <f t="shared" si="24"/>
        <v>24789689</v>
      </c>
      <c r="H63" s="213">
        <f t="shared" si="24"/>
        <v>16333800</v>
      </c>
      <c r="I63" s="213">
        <f t="shared" si="24"/>
        <v>14734830</v>
      </c>
      <c r="J63" s="213">
        <f t="shared" si="24"/>
        <v>0</v>
      </c>
      <c r="K63" s="213">
        <f t="shared" si="24"/>
        <v>0</v>
      </c>
      <c r="L63" s="213">
        <f t="shared" si="24"/>
        <v>0</v>
      </c>
      <c r="M63" s="213">
        <f t="shared" si="24"/>
        <v>0</v>
      </c>
      <c r="N63" s="213">
        <f t="shared" si="24"/>
        <v>0</v>
      </c>
      <c r="O63" s="213">
        <f t="shared" si="24"/>
        <v>0</v>
      </c>
      <c r="P63" s="213">
        <f t="shared" si="24"/>
        <v>0</v>
      </c>
      <c r="Q63" s="213">
        <f t="shared" si="24"/>
        <v>0</v>
      </c>
      <c r="R63" s="213">
        <f t="shared" si="24"/>
        <v>0</v>
      </c>
      <c r="S63" s="213">
        <f t="shared" si="24"/>
        <v>0</v>
      </c>
      <c r="T63" s="213">
        <f t="shared" si="24"/>
        <v>2000000</v>
      </c>
      <c r="U63" s="213">
        <f t="shared" si="24"/>
        <v>913426</v>
      </c>
      <c r="V63" s="213">
        <f t="shared" si="24"/>
        <v>0</v>
      </c>
      <c r="W63" s="213">
        <f t="shared" si="24"/>
        <v>0</v>
      </c>
      <c r="X63" s="213">
        <f t="shared" si="24"/>
        <v>0</v>
      </c>
      <c r="Y63" s="213">
        <f t="shared" si="24"/>
        <v>0</v>
      </c>
      <c r="Z63" s="213">
        <f t="shared" si="24"/>
        <v>0</v>
      </c>
      <c r="AA63" s="213">
        <f t="shared" si="24"/>
        <v>0</v>
      </c>
      <c r="AB63" s="213">
        <f t="shared" si="24"/>
        <v>219870590</v>
      </c>
      <c r="AC63" s="213">
        <f t="shared" si="24"/>
        <v>211764727</v>
      </c>
      <c r="AD63" s="213">
        <f t="shared" si="24"/>
        <v>219156590</v>
      </c>
      <c r="AE63" s="213">
        <f t="shared" si="24"/>
        <v>208567459</v>
      </c>
      <c r="AF63" s="213"/>
      <c r="AG63" s="213"/>
      <c r="AH63" s="214"/>
      <c r="AI63" s="214"/>
      <c r="AJ63" s="215"/>
    </row>
    <row r="64" spans="1:36" x14ac:dyDescent="0.25">
      <c r="A64" s="54" t="s">
        <v>337</v>
      </c>
      <c r="B64" s="44" t="s">
        <v>205</v>
      </c>
      <c r="C64" s="60" t="s">
        <v>215</v>
      </c>
      <c r="D64" s="210">
        <f>'13.PMH kiad'!D11</f>
        <v>136167000</v>
      </c>
      <c r="E64" s="210">
        <f>'13.PMH kiad'!E11</f>
        <v>129726782</v>
      </c>
      <c r="F64" s="210">
        <f>'13.PMH kiad'!F11</f>
        <v>18361790</v>
      </c>
      <c r="G64" s="210">
        <f>'13.PMH kiad'!G11</f>
        <v>19381689</v>
      </c>
      <c r="H64" s="210">
        <f>'13.PMH kiad'!H11</f>
        <v>16333800</v>
      </c>
      <c r="I64" s="210">
        <f>'13.PMH kiad'!I11</f>
        <v>14734830</v>
      </c>
      <c r="J64" s="210">
        <f>'13.PMH kiad'!J11</f>
        <v>0</v>
      </c>
      <c r="K64" s="210">
        <f>'13.PMH kiad'!K11</f>
        <v>0</v>
      </c>
      <c r="L64" s="210">
        <f>'13.PMH kiad'!L11</f>
        <v>0</v>
      </c>
      <c r="M64" s="210">
        <f>'13.PMH kiad'!M11</f>
        <v>0</v>
      </c>
      <c r="N64" s="210">
        <v>0</v>
      </c>
      <c r="O64" s="210">
        <v>0</v>
      </c>
      <c r="P64" s="210">
        <f>'13.PMH kiad'!P11</f>
        <v>0</v>
      </c>
      <c r="Q64" s="210">
        <f>'13.PMH kiad'!Q11</f>
        <v>0</v>
      </c>
      <c r="R64" s="210">
        <f>'13.PMH kiad'!R11</f>
        <v>0</v>
      </c>
      <c r="S64" s="210">
        <f>'13.PMH kiad'!S11</f>
        <v>0</v>
      </c>
      <c r="T64" s="210">
        <f>'13.PMH kiad'!N11</f>
        <v>2000000</v>
      </c>
      <c r="U64" s="210">
        <f>'13.PMH kiad'!O11</f>
        <v>913426</v>
      </c>
      <c r="V64" s="210"/>
      <c r="W64" s="210"/>
      <c r="X64" s="210"/>
      <c r="Y64" s="210"/>
      <c r="Z64" s="210"/>
      <c r="AA64" s="210"/>
      <c r="AB64" s="210">
        <f>D64+F64+H64+J64+L64+N64+P64+R64+T64+V64+X64+Z64</f>
        <v>172862590</v>
      </c>
      <c r="AC64" s="210">
        <f>E64+G64+I64+K64+M64+O64+Q64+S64+U64+W64+Y64+AA64</f>
        <v>164756727</v>
      </c>
      <c r="AD64" s="228">
        <f>'8. PMH bev.'!P7</f>
        <v>172148590</v>
      </c>
      <c r="AE64" s="228">
        <f>'8. PMH bev.'!Q7</f>
        <v>161559459</v>
      </c>
      <c r="AF64" s="213"/>
      <c r="AG64" s="229"/>
      <c r="AH64" s="230"/>
      <c r="AI64" s="230"/>
      <c r="AJ64" s="215"/>
    </row>
    <row r="65" spans="1:36" x14ac:dyDescent="0.25">
      <c r="A65" s="54" t="s">
        <v>338</v>
      </c>
      <c r="B65" s="44" t="s">
        <v>263</v>
      </c>
      <c r="C65" s="60" t="s">
        <v>262</v>
      </c>
      <c r="D65" s="210">
        <f>'13.PMH kiad'!D6</f>
        <v>41600000</v>
      </c>
      <c r="E65" s="210">
        <f>'13.PMH kiad'!E6</f>
        <v>41600000</v>
      </c>
      <c r="F65" s="210">
        <f>'13.PMH kiad'!F6</f>
        <v>5408000</v>
      </c>
      <c r="G65" s="210">
        <f>'13.PMH kiad'!G6</f>
        <v>5408000</v>
      </c>
      <c r="H65" s="210">
        <f>'13.PMH kiad'!H6</f>
        <v>0</v>
      </c>
      <c r="I65" s="210"/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>
        <f>D65+F65+H65+J65+L65+N65+P65+R65+T65+V65+X65+Z65</f>
        <v>47008000</v>
      </c>
      <c r="AC65" s="210">
        <f>E65+G65+I65+K65+M65+O65+Q65+S65+U65+W65+Y65+AA65</f>
        <v>47008000</v>
      </c>
      <c r="AD65" s="228">
        <f>'8. PMH bev.'!P6</f>
        <v>47008000</v>
      </c>
      <c r="AE65" s="228">
        <f>'8. PMH bev.'!Q6</f>
        <v>47008000</v>
      </c>
      <c r="AF65" s="213"/>
      <c r="AG65" s="229"/>
      <c r="AH65" s="230"/>
      <c r="AI65" s="230"/>
      <c r="AJ65" s="215"/>
    </row>
    <row r="66" spans="1:36" s="59" customFormat="1" x14ac:dyDescent="0.25">
      <c r="A66" s="54" t="s">
        <v>339</v>
      </c>
      <c r="B66" s="212"/>
      <c r="C66" s="227" t="s">
        <v>217</v>
      </c>
      <c r="D66" s="213">
        <f>SUM(D67:D68)</f>
        <v>155159696</v>
      </c>
      <c r="E66" s="213">
        <f>SUM(E67:E68)</f>
        <v>188393710</v>
      </c>
      <c r="F66" s="213">
        <f t="shared" ref="F66:AE66" si="25">SUM(F67:F68)</f>
        <v>20038031</v>
      </c>
      <c r="G66" s="213">
        <f t="shared" si="25"/>
        <v>23708848</v>
      </c>
      <c r="H66" s="213">
        <f t="shared" si="25"/>
        <v>25729100</v>
      </c>
      <c r="I66" s="213">
        <f t="shared" si="25"/>
        <v>13945539</v>
      </c>
      <c r="J66" s="213">
        <f t="shared" si="25"/>
        <v>0</v>
      </c>
      <c r="K66" s="213">
        <f t="shared" si="25"/>
        <v>0</v>
      </c>
      <c r="L66" s="213">
        <f t="shared" si="25"/>
        <v>0</v>
      </c>
      <c r="M66" s="213">
        <f t="shared" si="25"/>
        <v>0</v>
      </c>
      <c r="N66" s="213">
        <f t="shared" si="25"/>
        <v>0</v>
      </c>
      <c r="O66" s="213">
        <f t="shared" si="25"/>
        <v>0</v>
      </c>
      <c r="P66" s="213">
        <f t="shared" si="25"/>
        <v>0</v>
      </c>
      <c r="Q66" s="213">
        <f t="shared" si="25"/>
        <v>0</v>
      </c>
      <c r="R66" s="213">
        <f t="shared" si="25"/>
        <v>0</v>
      </c>
      <c r="S66" s="213">
        <f t="shared" si="25"/>
        <v>0</v>
      </c>
      <c r="T66" s="213">
        <f t="shared" si="25"/>
        <v>750000</v>
      </c>
      <c r="U66" s="213">
        <f t="shared" si="25"/>
        <v>2245819</v>
      </c>
      <c r="V66" s="213">
        <f t="shared" si="25"/>
        <v>0</v>
      </c>
      <c r="W66" s="213">
        <f t="shared" si="25"/>
        <v>3842323</v>
      </c>
      <c r="X66" s="213">
        <f t="shared" si="25"/>
        <v>0</v>
      </c>
      <c r="Y66" s="213">
        <f t="shared" si="25"/>
        <v>0</v>
      </c>
      <c r="Z66" s="213">
        <f t="shared" si="25"/>
        <v>0</v>
      </c>
      <c r="AA66" s="213">
        <f t="shared" si="25"/>
        <v>0</v>
      </c>
      <c r="AB66" s="213">
        <f t="shared" ref="AB66:AC74" si="26">D66+F66+H66+J66+L66+N66+P66+R66+T66+V66+X66+Z66</f>
        <v>201676827</v>
      </c>
      <c r="AC66" s="213">
        <f t="shared" si="25"/>
        <v>232136239</v>
      </c>
      <c r="AD66" s="213">
        <f t="shared" si="25"/>
        <v>201666827</v>
      </c>
      <c r="AE66" s="213">
        <f t="shared" si="25"/>
        <v>231910009</v>
      </c>
      <c r="AF66" s="213"/>
      <c r="AG66" s="216"/>
      <c r="AH66" s="214"/>
      <c r="AI66" s="214"/>
      <c r="AJ66" s="215"/>
    </row>
    <row r="67" spans="1:36" x14ac:dyDescent="0.25">
      <c r="A67" s="54" t="s">
        <v>340</v>
      </c>
      <c r="B67" s="44" t="s">
        <v>205</v>
      </c>
      <c r="C67" s="60" t="s">
        <v>215</v>
      </c>
      <c r="D67" s="210">
        <f>'15. VE kiad'!D9</f>
        <v>155159696</v>
      </c>
      <c r="E67" s="210">
        <f>'15. VE kiad'!E9</f>
        <v>188393710</v>
      </c>
      <c r="F67" s="210">
        <f>'15. VE kiad'!F9</f>
        <v>20038031</v>
      </c>
      <c r="G67" s="210">
        <f>'15. VE kiad'!G9</f>
        <v>23708848</v>
      </c>
      <c r="H67" s="210">
        <f>'15. VE kiad'!H9</f>
        <v>25729100</v>
      </c>
      <c r="I67" s="210">
        <f>'15. VE kiad'!I9</f>
        <v>13945539</v>
      </c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>
        <f>'15. VE kiad'!N9</f>
        <v>750000</v>
      </c>
      <c r="U67" s="210">
        <f>'15. VE kiad'!O9</f>
        <v>2245819</v>
      </c>
      <c r="V67" s="210"/>
      <c r="W67" s="210">
        <f>'15. VE kiad'!Q9</f>
        <v>3842323</v>
      </c>
      <c r="X67" s="210"/>
      <c r="Y67" s="210"/>
      <c r="Z67" s="210"/>
      <c r="AA67" s="210"/>
      <c r="AB67" s="210">
        <f t="shared" si="26"/>
        <v>201676827</v>
      </c>
      <c r="AC67" s="210">
        <f t="shared" si="26"/>
        <v>232136239</v>
      </c>
      <c r="AD67" s="228">
        <f>'10. VE bev'!P9</f>
        <v>201666827</v>
      </c>
      <c r="AE67" s="228">
        <f>'10. VE bev'!Q9</f>
        <v>231910009</v>
      </c>
      <c r="AF67" s="213"/>
      <c r="AG67" s="229"/>
      <c r="AH67" s="230"/>
      <c r="AI67" s="230"/>
      <c r="AJ67" s="215"/>
    </row>
    <row r="68" spans="1:36" x14ac:dyDescent="0.25">
      <c r="A68" s="54" t="s">
        <v>341</v>
      </c>
      <c r="B68" s="44" t="s">
        <v>207</v>
      </c>
      <c r="C68" s="60" t="s">
        <v>216</v>
      </c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>
        <f t="shared" si="26"/>
        <v>0</v>
      </c>
      <c r="AC68" s="210"/>
      <c r="AD68" s="228"/>
      <c r="AE68" s="228"/>
      <c r="AF68" s="213"/>
      <c r="AG68" s="229"/>
      <c r="AH68" s="230"/>
      <c r="AI68" s="230"/>
      <c r="AJ68" s="215"/>
    </row>
    <row r="69" spans="1:36" s="59" customFormat="1" x14ac:dyDescent="0.25">
      <c r="A69" s="54" t="s">
        <v>342</v>
      </c>
      <c r="B69" s="212"/>
      <c r="C69" s="227" t="s">
        <v>218</v>
      </c>
      <c r="D69" s="213">
        <f>SUM(D70:D71)</f>
        <v>148019793</v>
      </c>
      <c r="E69" s="213">
        <f>SUM(E70:E71)</f>
        <v>166266570</v>
      </c>
      <c r="F69" s="213">
        <f t="shared" ref="F69:AE69" si="27">SUM(F70:F71)</f>
        <v>19242573.09</v>
      </c>
      <c r="G69" s="213">
        <f t="shared" si="27"/>
        <v>22319921</v>
      </c>
      <c r="H69" s="213">
        <f t="shared" si="27"/>
        <v>118239012</v>
      </c>
      <c r="I69" s="213">
        <f t="shared" si="27"/>
        <v>91246693</v>
      </c>
      <c r="J69" s="213">
        <f t="shared" si="27"/>
        <v>0</v>
      </c>
      <c r="K69" s="213">
        <f t="shared" si="27"/>
        <v>0</v>
      </c>
      <c r="L69" s="213">
        <f t="shared" si="27"/>
        <v>30000</v>
      </c>
      <c r="M69" s="213">
        <f t="shared" si="27"/>
        <v>0</v>
      </c>
      <c r="N69" s="213">
        <f t="shared" si="27"/>
        <v>0</v>
      </c>
      <c r="O69" s="213">
        <f t="shared" si="27"/>
        <v>0</v>
      </c>
      <c r="P69" s="213">
        <f t="shared" si="27"/>
        <v>0</v>
      </c>
      <c r="Q69" s="213">
        <f t="shared" si="27"/>
        <v>0</v>
      </c>
      <c r="R69" s="213">
        <v>0</v>
      </c>
      <c r="S69" s="213">
        <v>0</v>
      </c>
      <c r="T69" s="213">
        <f t="shared" si="27"/>
        <v>2410000</v>
      </c>
      <c r="U69" s="213">
        <f t="shared" si="27"/>
        <v>552380</v>
      </c>
      <c r="V69" s="213">
        <f t="shared" si="27"/>
        <v>0</v>
      </c>
      <c r="W69" s="213"/>
      <c r="X69" s="213">
        <f t="shared" si="27"/>
        <v>0</v>
      </c>
      <c r="Y69" s="213"/>
      <c r="Z69" s="213">
        <f t="shared" si="27"/>
        <v>0</v>
      </c>
      <c r="AA69" s="213"/>
      <c r="AB69" s="213">
        <f t="shared" si="26"/>
        <v>287941378.09000003</v>
      </c>
      <c r="AC69" s="213">
        <f t="shared" si="27"/>
        <v>280385564</v>
      </c>
      <c r="AD69" s="213">
        <f>SUM(AD70:AD71)</f>
        <v>248790567</v>
      </c>
      <c r="AE69" s="213">
        <f t="shared" si="27"/>
        <v>236513536</v>
      </c>
      <c r="AF69" s="213"/>
      <c r="AG69" s="216"/>
      <c r="AH69" s="214"/>
      <c r="AI69" s="214"/>
      <c r="AJ69" s="215"/>
    </row>
    <row r="70" spans="1:36" x14ac:dyDescent="0.25">
      <c r="A70" s="54" t="s">
        <v>343</v>
      </c>
      <c r="B70" s="44" t="s">
        <v>205</v>
      </c>
      <c r="C70" s="60" t="s">
        <v>215</v>
      </c>
      <c r="D70" s="210">
        <f>'14. GKP kiad'!D18</f>
        <v>55273544</v>
      </c>
      <c r="E70" s="210">
        <f>'14. GKP kiad'!E18</f>
        <v>60879358</v>
      </c>
      <c r="F70" s="210">
        <f>'14. GKP kiad'!F18</f>
        <v>7185560.7200000007</v>
      </c>
      <c r="G70" s="210">
        <f>'14. GKP kiad'!G18</f>
        <v>7943034</v>
      </c>
      <c r="H70" s="210">
        <f>'14. GKP kiad'!H18</f>
        <v>23993512</v>
      </c>
      <c r="I70" s="210">
        <f>'14. GKP kiad'!I18</f>
        <v>20607435</v>
      </c>
      <c r="J70" s="210"/>
      <c r="K70" s="210"/>
      <c r="L70" s="210">
        <f>+'14. GKP kiad'!L18</f>
        <v>30000</v>
      </c>
      <c r="M70" s="210">
        <f>+'14. GKP kiad'!M18</f>
        <v>0</v>
      </c>
      <c r="N70" s="210"/>
      <c r="O70" s="210"/>
      <c r="P70" s="210"/>
      <c r="Q70" s="210"/>
      <c r="R70" s="210"/>
      <c r="S70" s="210"/>
      <c r="T70" s="210">
        <f>'14. GKP kiad'!N18</f>
        <v>410000</v>
      </c>
      <c r="U70" s="210">
        <f>'14. GKP kiad'!O18</f>
        <v>8000</v>
      </c>
      <c r="V70" s="210"/>
      <c r="W70" s="210"/>
      <c r="X70" s="210"/>
      <c r="Y70" s="210"/>
      <c r="Z70" s="210"/>
      <c r="AA70" s="210"/>
      <c r="AB70" s="210">
        <f t="shared" si="26"/>
        <v>86892616.719999999</v>
      </c>
      <c r="AC70" s="210">
        <f t="shared" si="26"/>
        <v>89437827</v>
      </c>
      <c r="AD70" s="228">
        <f>'9. GKP bev'!P19</f>
        <v>81885945</v>
      </c>
      <c r="AE70" s="228">
        <f>'9. GKP bev'!Q19</f>
        <v>84266470</v>
      </c>
      <c r="AF70" s="213"/>
      <c r="AG70" s="229"/>
      <c r="AH70" s="230"/>
      <c r="AI70" s="230"/>
      <c r="AJ70" s="215"/>
    </row>
    <row r="71" spans="1:36" x14ac:dyDescent="0.25">
      <c r="A71" s="54" t="s">
        <v>344</v>
      </c>
      <c r="B71" s="44" t="s">
        <v>207</v>
      </c>
      <c r="C71" s="60" t="s">
        <v>216</v>
      </c>
      <c r="D71" s="210">
        <f>'14. GKP kiad'!D19</f>
        <v>92746249</v>
      </c>
      <c r="E71" s="210">
        <f>'14. GKP kiad'!E19</f>
        <v>105387212</v>
      </c>
      <c r="F71" s="210">
        <f>'14. GKP kiad'!F19</f>
        <v>12057012.369999999</v>
      </c>
      <c r="G71" s="210">
        <f>'14. GKP kiad'!G19</f>
        <v>14376887</v>
      </c>
      <c r="H71" s="210">
        <f>'14. GKP kiad'!H19</f>
        <v>94245500</v>
      </c>
      <c r="I71" s="210">
        <f>'14. GKP kiad'!I19</f>
        <v>70639258</v>
      </c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>
        <f>'14. GKP kiad'!N19</f>
        <v>2000000</v>
      </c>
      <c r="U71" s="210">
        <f>'14. GKP kiad'!O19</f>
        <v>544380</v>
      </c>
      <c r="V71" s="210"/>
      <c r="W71" s="210"/>
      <c r="X71" s="210"/>
      <c r="Y71" s="210"/>
      <c r="Z71" s="210"/>
      <c r="AA71" s="210"/>
      <c r="AB71" s="210">
        <f t="shared" si="26"/>
        <v>201048761.37</v>
      </c>
      <c r="AC71" s="210">
        <f t="shared" si="26"/>
        <v>190947737</v>
      </c>
      <c r="AD71" s="228">
        <f>'9. GKP bev'!P20</f>
        <v>166904622</v>
      </c>
      <c r="AE71" s="228">
        <f>'9. GKP bev'!Q20</f>
        <v>152247066</v>
      </c>
      <c r="AF71" s="213"/>
      <c r="AG71" s="229"/>
      <c r="AH71" s="230"/>
      <c r="AI71" s="230"/>
      <c r="AJ71" s="215"/>
    </row>
    <row r="72" spans="1:36" s="59" customFormat="1" x14ac:dyDescent="0.25">
      <c r="A72" s="54" t="s">
        <v>345</v>
      </c>
      <c r="B72" s="212"/>
      <c r="C72" s="227" t="s">
        <v>274</v>
      </c>
      <c r="D72" s="213">
        <f>SUM(D73:D74)</f>
        <v>23242400</v>
      </c>
      <c r="E72" s="213">
        <f>SUM(E73:E74)</f>
        <v>23165663</v>
      </c>
      <c r="F72" s="213">
        <f t="shared" ref="F72:AE72" si="28">SUM(F73:F74)</f>
        <v>3021512</v>
      </c>
      <c r="G72" s="213">
        <f t="shared" si="28"/>
        <v>3143701</v>
      </c>
      <c r="H72" s="213">
        <f t="shared" si="28"/>
        <v>20501500</v>
      </c>
      <c r="I72" s="213">
        <f t="shared" si="28"/>
        <v>17256927</v>
      </c>
      <c r="J72" s="213">
        <f t="shared" si="28"/>
        <v>0</v>
      </c>
      <c r="K72" s="213">
        <f t="shared" si="28"/>
        <v>0</v>
      </c>
      <c r="L72" s="213">
        <f t="shared" si="28"/>
        <v>0</v>
      </c>
      <c r="M72" s="213">
        <f t="shared" si="28"/>
        <v>0</v>
      </c>
      <c r="N72" s="213">
        <f t="shared" si="28"/>
        <v>0</v>
      </c>
      <c r="O72" s="213">
        <f t="shared" si="28"/>
        <v>0</v>
      </c>
      <c r="P72" s="213">
        <f t="shared" si="28"/>
        <v>0</v>
      </c>
      <c r="Q72" s="213">
        <f t="shared" si="28"/>
        <v>0</v>
      </c>
      <c r="R72" s="213">
        <f t="shared" si="28"/>
        <v>0</v>
      </c>
      <c r="S72" s="213">
        <f t="shared" si="28"/>
        <v>0</v>
      </c>
      <c r="T72" s="213">
        <f t="shared" si="28"/>
        <v>150000</v>
      </c>
      <c r="U72" s="213">
        <f t="shared" si="28"/>
        <v>1204506</v>
      </c>
      <c r="V72" s="213">
        <f t="shared" si="28"/>
        <v>0</v>
      </c>
      <c r="W72" s="213">
        <f t="shared" si="28"/>
        <v>0</v>
      </c>
      <c r="X72" s="213">
        <f t="shared" si="28"/>
        <v>0</v>
      </c>
      <c r="Y72" s="213">
        <f t="shared" si="28"/>
        <v>0</v>
      </c>
      <c r="Z72" s="213">
        <f t="shared" si="28"/>
        <v>0</v>
      </c>
      <c r="AA72" s="213">
        <f t="shared" si="28"/>
        <v>0</v>
      </c>
      <c r="AB72" s="213">
        <f t="shared" si="26"/>
        <v>46915412</v>
      </c>
      <c r="AC72" s="213">
        <f t="shared" si="28"/>
        <v>44770797</v>
      </c>
      <c r="AD72" s="213">
        <f t="shared" si="28"/>
        <v>42777412</v>
      </c>
      <c r="AE72" s="213">
        <f t="shared" si="28"/>
        <v>43473077</v>
      </c>
      <c r="AF72" s="213"/>
      <c r="AG72" s="231"/>
      <c r="AH72" s="214"/>
      <c r="AI72" s="214"/>
      <c r="AJ72" s="215"/>
    </row>
    <row r="73" spans="1:36" x14ac:dyDescent="0.25">
      <c r="A73" s="54" t="s">
        <v>346</v>
      </c>
      <c r="B73" s="44" t="s">
        <v>205</v>
      </c>
      <c r="C73" s="60" t="s">
        <v>215</v>
      </c>
      <c r="D73" s="210">
        <f>'16. MH kiad'!D11</f>
        <v>23242400</v>
      </c>
      <c r="E73" s="210">
        <f>'16. MH kiad'!E11</f>
        <v>22971318</v>
      </c>
      <c r="F73" s="210">
        <f>'16. MH kiad'!F11</f>
        <v>3021512</v>
      </c>
      <c r="G73" s="210">
        <f>'16. MH kiad'!G11</f>
        <v>3143701</v>
      </c>
      <c r="H73" s="210">
        <f>'16. MH kiad'!H11</f>
        <v>11409500</v>
      </c>
      <c r="I73" s="210">
        <f>'16. MH kiad'!I11</f>
        <v>12507001</v>
      </c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>
        <f>'16. MH kiad'!N11</f>
        <v>150000</v>
      </c>
      <c r="U73" s="210">
        <f>'16. MH kiad'!O11</f>
        <v>1204506</v>
      </c>
      <c r="V73" s="210"/>
      <c r="W73" s="210"/>
      <c r="X73" s="210"/>
      <c r="Y73" s="210"/>
      <c r="Z73" s="210"/>
      <c r="AA73" s="210"/>
      <c r="AB73" s="210">
        <f t="shared" si="26"/>
        <v>37823412</v>
      </c>
      <c r="AC73" s="210">
        <f t="shared" si="26"/>
        <v>39826526</v>
      </c>
      <c r="AD73" s="228">
        <f>'11. MH bev.'!R11</f>
        <v>37586412</v>
      </c>
      <c r="AE73" s="228">
        <f>'11. MH bev.'!S11</f>
        <v>40027086</v>
      </c>
      <c r="AF73" s="213"/>
      <c r="AG73" s="229"/>
      <c r="AH73" s="230"/>
      <c r="AI73" s="230"/>
      <c r="AJ73" s="215"/>
    </row>
    <row r="74" spans="1:36" x14ac:dyDescent="0.25">
      <c r="A74" s="54" t="s">
        <v>347</v>
      </c>
      <c r="B74" s="44" t="s">
        <v>207</v>
      </c>
      <c r="C74" s="60" t="s">
        <v>216</v>
      </c>
      <c r="D74" s="210">
        <f>'16. MH kiad'!D12</f>
        <v>0</v>
      </c>
      <c r="E74" s="210">
        <f>'16. MH kiad'!E12</f>
        <v>194345</v>
      </c>
      <c r="F74" s="210">
        <f>'16. MH kiad'!F12</f>
        <v>0</v>
      </c>
      <c r="G74" s="210">
        <f>'16. MH kiad'!G12</f>
        <v>0</v>
      </c>
      <c r="H74" s="210">
        <f>'16. MH kiad'!H12</f>
        <v>9092000</v>
      </c>
      <c r="I74" s="210">
        <f>'16. MH kiad'!I12</f>
        <v>4749926</v>
      </c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>
        <f>'16. MH kiad'!N12</f>
        <v>0</v>
      </c>
      <c r="U74" s="210">
        <f>'16. MH kiad'!O12</f>
        <v>0</v>
      </c>
      <c r="V74" s="210"/>
      <c r="W74" s="210"/>
      <c r="X74" s="210"/>
      <c r="Y74" s="210"/>
      <c r="Z74" s="210"/>
      <c r="AA74" s="210"/>
      <c r="AB74" s="210">
        <f t="shared" si="26"/>
        <v>9092000</v>
      </c>
      <c r="AC74" s="210">
        <f t="shared" si="26"/>
        <v>4944271</v>
      </c>
      <c r="AD74" s="228">
        <f>'11. MH bev.'!R12</f>
        <v>5191000</v>
      </c>
      <c r="AE74" s="228">
        <f>'11. MH bev.'!S12</f>
        <v>3445991</v>
      </c>
      <c r="AF74" s="213"/>
      <c r="AG74" s="229"/>
      <c r="AH74" s="230"/>
      <c r="AI74" s="230"/>
      <c r="AJ74" s="215"/>
    </row>
    <row r="75" spans="1:36" s="59" customFormat="1" ht="15.75" x14ac:dyDescent="0.25">
      <c r="A75" s="54" t="s">
        <v>348</v>
      </c>
      <c r="B75" s="212"/>
      <c r="C75" s="55" t="s">
        <v>219</v>
      </c>
      <c r="D75" s="213">
        <f t="shared" ref="D75:AE75" si="29">D50+D63+D66+D69+D72</f>
        <v>654058277</v>
      </c>
      <c r="E75" s="213">
        <f t="shared" si="29"/>
        <v>708957518</v>
      </c>
      <c r="F75" s="213">
        <f t="shared" si="29"/>
        <v>80079073.290000007</v>
      </c>
      <c r="G75" s="213">
        <f t="shared" si="29"/>
        <v>88325705</v>
      </c>
      <c r="H75" s="213">
        <f>H50+H63+H66+H69+H72</f>
        <v>419347309</v>
      </c>
      <c r="I75" s="213">
        <f t="shared" si="29"/>
        <v>363606283</v>
      </c>
      <c r="J75" s="213">
        <f t="shared" si="29"/>
        <v>3900000</v>
      </c>
      <c r="K75" s="213">
        <f t="shared" si="29"/>
        <v>1942870</v>
      </c>
      <c r="L75" s="213">
        <f t="shared" si="29"/>
        <v>24831170</v>
      </c>
      <c r="M75" s="213">
        <f t="shared" si="29"/>
        <v>12034055</v>
      </c>
      <c r="N75" s="213">
        <f t="shared" si="29"/>
        <v>68720591</v>
      </c>
      <c r="O75" s="213">
        <f t="shared" si="29"/>
        <v>492500</v>
      </c>
      <c r="P75" s="213">
        <f t="shared" si="29"/>
        <v>1626435</v>
      </c>
      <c r="Q75" s="213">
        <f t="shared" si="29"/>
        <v>11191192</v>
      </c>
      <c r="R75" s="213">
        <f t="shared" si="29"/>
        <v>27830638</v>
      </c>
      <c r="S75" s="213">
        <f t="shared" si="29"/>
        <v>23622879</v>
      </c>
      <c r="T75" s="213">
        <f>T50+T63+T66+T69+T72</f>
        <v>507485197</v>
      </c>
      <c r="U75" s="213">
        <f>U50+U63+U66+U69+U72</f>
        <v>8302359</v>
      </c>
      <c r="V75" s="213">
        <f t="shared" si="29"/>
        <v>244315758</v>
      </c>
      <c r="W75" s="213">
        <f t="shared" si="29"/>
        <v>162244318</v>
      </c>
      <c r="X75" s="213">
        <f t="shared" si="29"/>
        <v>5000000</v>
      </c>
      <c r="Y75" s="213">
        <f t="shared" si="29"/>
        <v>118173099</v>
      </c>
      <c r="Z75" s="213">
        <f t="shared" si="29"/>
        <v>83801763</v>
      </c>
      <c r="AA75" s="213">
        <f t="shared" si="29"/>
        <v>322209087</v>
      </c>
      <c r="AB75" s="213">
        <f>AB50+AB63+AB66+AB69+AB72</f>
        <v>2120996211.29</v>
      </c>
      <c r="AC75" s="213">
        <f>AC50+AC63+AC66+AC69+AC72</f>
        <v>1821101865</v>
      </c>
      <c r="AD75" s="213">
        <f t="shared" si="29"/>
        <v>712391396</v>
      </c>
      <c r="AE75" s="213">
        <f t="shared" si="29"/>
        <v>720464081</v>
      </c>
      <c r="AF75" s="213">
        <f>AB50+AD75</f>
        <v>2076983400.2</v>
      </c>
      <c r="AG75" s="213">
        <f>AC50+AE75</f>
        <v>1772508619</v>
      </c>
      <c r="AH75" s="217"/>
      <c r="AI75" s="217"/>
      <c r="AJ75" s="215"/>
    </row>
    <row r="76" spans="1:36" s="59" customFormat="1" ht="15.75" x14ac:dyDescent="0.25">
      <c r="A76" s="54" t="s">
        <v>349</v>
      </c>
      <c r="B76" s="212"/>
      <c r="C76" s="55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213"/>
      <c r="Z76" s="213"/>
      <c r="AA76" s="213"/>
      <c r="AB76" s="213"/>
      <c r="AC76" s="213"/>
      <c r="AD76" s="211"/>
      <c r="AE76" s="211"/>
      <c r="AF76" s="211"/>
      <c r="AG76" s="216"/>
      <c r="AH76" s="214"/>
      <c r="AI76" s="214"/>
      <c r="AJ76" s="215"/>
    </row>
    <row r="77" spans="1:36" x14ac:dyDescent="0.25">
      <c r="A77" s="54" t="s">
        <v>350</v>
      </c>
      <c r="B77" s="58"/>
      <c r="C77" s="58" t="s">
        <v>220</v>
      </c>
      <c r="D77" s="109">
        <f>D61+D64+D67+D70+D73</f>
        <v>507745628</v>
      </c>
      <c r="E77" s="109">
        <f t="shared" ref="E77:AE77" si="30">E61+E64+E67+E70+E73</f>
        <v>552968342</v>
      </c>
      <c r="F77" s="109">
        <f t="shared" si="30"/>
        <v>61188428.920000002</v>
      </c>
      <c r="G77" s="109">
        <f t="shared" si="30"/>
        <v>67701772</v>
      </c>
      <c r="H77" s="109">
        <f>H61+H64+H67+H70+H73</f>
        <v>239658936</v>
      </c>
      <c r="I77" s="109">
        <f t="shared" si="30"/>
        <v>235296153</v>
      </c>
      <c r="J77" s="109">
        <f t="shared" si="30"/>
        <v>3900000</v>
      </c>
      <c r="K77" s="109">
        <f t="shared" si="30"/>
        <v>1942870</v>
      </c>
      <c r="L77" s="109">
        <f t="shared" si="30"/>
        <v>24831170</v>
      </c>
      <c r="M77" s="109">
        <f t="shared" si="30"/>
        <v>12034055</v>
      </c>
      <c r="N77" s="109">
        <f t="shared" si="30"/>
        <v>0</v>
      </c>
      <c r="O77" s="109">
        <f t="shared" si="30"/>
        <v>0</v>
      </c>
      <c r="P77" s="109">
        <f t="shared" si="30"/>
        <v>0</v>
      </c>
      <c r="Q77" s="109">
        <f t="shared" si="30"/>
        <v>0</v>
      </c>
      <c r="R77" s="109">
        <f t="shared" si="30"/>
        <v>27830638</v>
      </c>
      <c r="S77" s="109">
        <f t="shared" si="30"/>
        <v>23622879</v>
      </c>
      <c r="T77" s="109">
        <f>T61+T64+T67+T70+T73</f>
        <v>13440048</v>
      </c>
      <c r="U77" s="109">
        <f t="shared" si="30"/>
        <v>7757979</v>
      </c>
      <c r="V77" s="109">
        <f>V61+V64+V67+V70+V73</f>
        <v>2000000</v>
      </c>
      <c r="W77" s="109">
        <f>W61+W64+W67+W70+W73</f>
        <v>5896292</v>
      </c>
      <c r="X77" s="109">
        <f t="shared" si="30"/>
        <v>5000000</v>
      </c>
      <c r="Y77" s="109">
        <f t="shared" si="30"/>
        <v>118173099</v>
      </c>
      <c r="Z77" s="109">
        <f t="shared" si="30"/>
        <v>83801763</v>
      </c>
      <c r="AA77" s="109">
        <f t="shared" si="30"/>
        <v>322209087</v>
      </c>
      <c r="AB77" s="109">
        <f>AB61+AB64+AB67+AB70+AB73</f>
        <v>969396611.92000008</v>
      </c>
      <c r="AC77" s="109">
        <f>AC61+AC64+AC67+AC70+AC73</f>
        <v>1347602528</v>
      </c>
      <c r="AD77" s="109">
        <f t="shared" si="30"/>
        <v>493287774</v>
      </c>
      <c r="AE77" s="109">
        <f t="shared" si="30"/>
        <v>517763024</v>
      </c>
      <c r="AF77" s="109"/>
      <c r="AG77" s="218"/>
      <c r="AH77" s="61"/>
      <c r="AI77" s="61"/>
      <c r="AJ77" s="61"/>
    </row>
    <row r="78" spans="1:36" x14ac:dyDescent="0.25">
      <c r="A78" s="54" t="s">
        <v>351</v>
      </c>
      <c r="B78" s="58"/>
      <c r="C78" s="58" t="s">
        <v>262</v>
      </c>
      <c r="D78" s="109">
        <f>D65</f>
        <v>41600000</v>
      </c>
      <c r="E78" s="109">
        <f t="shared" ref="E78:AE78" si="31">E65</f>
        <v>41600000</v>
      </c>
      <c r="F78" s="109">
        <f t="shared" si="31"/>
        <v>5408000</v>
      </c>
      <c r="G78" s="109">
        <f t="shared" si="31"/>
        <v>5408000</v>
      </c>
      <c r="H78" s="109">
        <f t="shared" si="31"/>
        <v>0</v>
      </c>
      <c r="I78" s="109">
        <f t="shared" si="31"/>
        <v>0</v>
      </c>
      <c r="J78" s="109">
        <f t="shared" si="31"/>
        <v>0</v>
      </c>
      <c r="K78" s="109">
        <f t="shared" si="31"/>
        <v>0</v>
      </c>
      <c r="L78" s="109">
        <f t="shared" si="31"/>
        <v>0</v>
      </c>
      <c r="M78" s="109">
        <f t="shared" si="31"/>
        <v>0</v>
      </c>
      <c r="N78" s="109">
        <f t="shared" si="31"/>
        <v>0</v>
      </c>
      <c r="O78" s="109">
        <f t="shared" si="31"/>
        <v>0</v>
      </c>
      <c r="P78" s="109">
        <f t="shared" si="31"/>
        <v>0</v>
      </c>
      <c r="Q78" s="109">
        <f t="shared" si="31"/>
        <v>0</v>
      </c>
      <c r="R78" s="109">
        <f t="shared" si="31"/>
        <v>0</v>
      </c>
      <c r="S78" s="109">
        <f t="shared" si="31"/>
        <v>0</v>
      </c>
      <c r="T78" s="109">
        <f t="shared" si="31"/>
        <v>0</v>
      </c>
      <c r="U78" s="109">
        <f t="shared" si="31"/>
        <v>0</v>
      </c>
      <c r="V78" s="109">
        <f t="shared" si="31"/>
        <v>0</v>
      </c>
      <c r="W78" s="109">
        <f t="shared" si="31"/>
        <v>0</v>
      </c>
      <c r="X78" s="109">
        <f t="shared" si="31"/>
        <v>0</v>
      </c>
      <c r="Y78" s="109">
        <f t="shared" si="31"/>
        <v>0</v>
      </c>
      <c r="Z78" s="109">
        <f t="shared" si="31"/>
        <v>0</v>
      </c>
      <c r="AA78" s="109">
        <f t="shared" si="31"/>
        <v>0</v>
      </c>
      <c r="AB78" s="109">
        <f>AB65</f>
        <v>47008000</v>
      </c>
      <c r="AC78" s="109">
        <f t="shared" si="31"/>
        <v>47008000</v>
      </c>
      <c r="AD78" s="109">
        <f t="shared" si="31"/>
        <v>47008000</v>
      </c>
      <c r="AE78" s="109">
        <f t="shared" si="31"/>
        <v>47008000</v>
      </c>
      <c r="AF78" s="109"/>
      <c r="AG78" s="219"/>
      <c r="AH78" s="61"/>
      <c r="AI78" s="61"/>
      <c r="AJ78" s="61"/>
    </row>
    <row r="79" spans="1:36" x14ac:dyDescent="0.25">
      <c r="A79" s="54" t="s">
        <v>352</v>
      </c>
      <c r="B79" s="58"/>
      <c r="C79" s="58" t="s">
        <v>221</v>
      </c>
      <c r="D79" s="109">
        <f t="shared" ref="D79:AE79" si="32">D62+D68+D71+D74</f>
        <v>104712649</v>
      </c>
      <c r="E79" s="109">
        <f t="shared" si="32"/>
        <v>114389176</v>
      </c>
      <c r="F79" s="109">
        <f t="shared" si="32"/>
        <v>13482644.369999999</v>
      </c>
      <c r="G79" s="109">
        <f t="shared" si="32"/>
        <v>15215933</v>
      </c>
      <c r="H79" s="109">
        <f t="shared" si="32"/>
        <v>179688373</v>
      </c>
      <c r="I79" s="109">
        <f t="shared" si="32"/>
        <v>128310130</v>
      </c>
      <c r="J79" s="109">
        <f t="shared" si="32"/>
        <v>0</v>
      </c>
      <c r="K79" s="109">
        <f t="shared" si="32"/>
        <v>0</v>
      </c>
      <c r="L79" s="109">
        <f t="shared" si="32"/>
        <v>0</v>
      </c>
      <c r="M79" s="109">
        <f t="shared" si="32"/>
        <v>0</v>
      </c>
      <c r="N79" s="109">
        <f t="shared" si="32"/>
        <v>68720591</v>
      </c>
      <c r="O79" s="109">
        <f t="shared" si="32"/>
        <v>492500</v>
      </c>
      <c r="P79" s="109">
        <f t="shared" si="32"/>
        <v>1626435</v>
      </c>
      <c r="Q79" s="109">
        <f t="shared" si="32"/>
        <v>11191192</v>
      </c>
      <c r="R79" s="109">
        <f t="shared" si="32"/>
        <v>0</v>
      </c>
      <c r="S79" s="109">
        <f t="shared" si="32"/>
        <v>0</v>
      </c>
      <c r="T79" s="109">
        <f t="shared" si="32"/>
        <v>494045149</v>
      </c>
      <c r="U79" s="109">
        <f t="shared" si="32"/>
        <v>544380</v>
      </c>
      <c r="V79" s="109">
        <f t="shared" si="32"/>
        <v>242315758</v>
      </c>
      <c r="W79" s="109">
        <f t="shared" si="32"/>
        <v>156348026</v>
      </c>
      <c r="X79" s="109">
        <f t="shared" si="32"/>
        <v>0</v>
      </c>
      <c r="Y79" s="109">
        <f t="shared" si="32"/>
        <v>0</v>
      </c>
      <c r="Z79" s="109">
        <f t="shared" si="32"/>
        <v>0</v>
      </c>
      <c r="AA79" s="109">
        <f t="shared" si="32"/>
        <v>0</v>
      </c>
      <c r="AB79" s="109">
        <f>AB62+AB68+AB71+AB74</f>
        <v>1104591599.3699999</v>
      </c>
      <c r="AC79" s="109">
        <f>AC62+AC68+AC71+AC74</f>
        <v>426491337</v>
      </c>
      <c r="AD79" s="109">
        <f t="shared" si="32"/>
        <v>172095622</v>
      </c>
      <c r="AE79" s="109">
        <f t="shared" si="32"/>
        <v>155693057</v>
      </c>
      <c r="AF79" s="109"/>
      <c r="AG79" s="219"/>
      <c r="AH79" s="61"/>
      <c r="AI79" s="61"/>
      <c r="AJ79" s="61"/>
    </row>
    <row r="80" spans="1:36" s="59" customFormat="1" x14ac:dyDescent="0.25">
      <c r="A80" s="54" t="s">
        <v>353</v>
      </c>
      <c r="B80" s="62"/>
      <c r="C80" s="62" t="s">
        <v>222</v>
      </c>
      <c r="D80" s="68">
        <f>SUM(D77:D79)</f>
        <v>654058277</v>
      </c>
      <c r="E80" s="68">
        <f>SUM(E77:E79)</f>
        <v>708957518</v>
      </c>
      <c r="F80" s="68">
        <f t="shared" ref="F80:AD80" si="33">SUM(F77:F79)</f>
        <v>80079073.290000007</v>
      </c>
      <c r="G80" s="68">
        <f t="shared" ref="G80" si="34">SUM(G77:G79)</f>
        <v>88325705</v>
      </c>
      <c r="H80" s="68">
        <f>SUM(H77:H79)</f>
        <v>419347309</v>
      </c>
      <c r="I80" s="68">
        <f>SUM(I77:I79)</f>
        <v>363606283</v>
      </c>
      <c r="J80" s="68">
        <f t="shared" si="33"/>
        <v>3900000</v>
      </c>
      <c r="K80" s="68">
        <f t="shared" ref="K80" si="35">SUM(K77:K79)</f>
        <v>1942870</v>
      </c>
      <c r="L80" s="68">
        <f t="shared" si="33"/>
        <v>24831170</v>
      </c>
      <c r="M80" s="68">
        <f t="shared" ref="M80" si="36">SUM(M77:M79)</f>
        <v>12034055</v>
      </c>
      <c r="N80" s="68">
        <f t="shared" si="33"/>
        <v>68720591</v>
      </c>
      <c r="O80" s="68">
        <f t="shared" ref="O80" si="37">SUM(O77:O79)</f>
        <v>492500</v>
      </c>
      <c r="P80" s="68">
        <f t="shared" si="33"/>
        <v>1626435</v>
      </c>
      <c r="Q80" s="68">
        <f t="shared" ref="Q80" si="38">SUM(Q77:Q79)</f>
        <v>11191192</v>
      </c>
      <c r="R80" s="68">
        <f t="shared" si="33"/>
        <v>27830638</v>
      </c>
      <c r="S80" s="68">
        <f t="shared" ref="S80" si="39">SUM(S77:S79)</f>
        <v>23622879</v>
      </c>
      <c r="T80" s="68">
        <f t="shared" si="33"/>
        <v>507485197</v>
      </c>
      <c r="U80" s="68">
        <f>SUM(U77:U79)</f>
        <v>8302359</v>
      </c>
      <c r="V80" s="68">
        <f t="shared" si="33"/>
        <v>244315758</v>
      </c>
      <c r="W80" s="68">
        <f t="shared" ref="W80" si="40">SUM(W77:W79)</f>
        <v>162244318</v>
      </c>
      <c r="X80" s="68">
        <f t="shared" si="33"/>
        <v>5000000</v>
      </c>
      <c r="Y80" s="68">
        <f t="shared" ref="Y80" si="41">SUM(Y77:Y79)</f>
        <v>118173099</v>
      </c>
      <c r="Z80" s="68">
        <f t="shared" si="33"/>
        <v>83801763</v>
      </c>
      <c r="AA80" s="68">
        <f t="shared" ref="AA80" si="42">SUM(AA77:AA79)</f>
        <v>322209087</v>
      </c>
      <c r="AB80" s="68">
        <f>SUM(AB77:AB79)</f>
        <v>2120996211.29</v>
      </c>
      <c r="AC80" s="68">
        <f>SUM(AC77:AC79)</f>
        <v>1821101865</v>
      </c>
      <c r="AD80" s="68">
        <f t="shared" si="33"/>
        <v>712391396</v>
      </c>
      <c r="AE80" s="68">
        <f t="shared" ref="AE80" si="43">SUM(AE77:AE79)</f>
        <v>720464081</v>
      </c>
      <c r="AF80" s="68"/>
      <c r="AG80" s="219"/>
      <c r="AH80" s="61"/>
      <c r="AI80" s="61"/>
      <c r="AJ80" s="215"/>
    </row>
    <row r="81" spans="4:35" x14ac:dyDescent="0.25">
      <c r="D81" s="61">
        <f>D75-D80</f>
        <v>0</v>
      </c>
      <c r="E81" s="61">
        <f t="shared" ref="E81:AG81" si="44">E75-E80</f>
        <v>0</v>
      </c>
      <c r="F81" s="61">
        <f t="shared" si="44"/>
        <v>0</v>
      </c>
      <c r="G81" s="61">
        <f t="shared" si="44"/>
        <v>0</v>
      </c>
      <c r="H81" s="61">
        <f>H75-H80</f>
        <v>0</v>
      </c>
      <c r="I81" s="61">
        <f t="shared" si="44"/>
        <v>0</v>
      </c>
      <c r="J81" s="61">
        <f t="shared" si="44"/>
        <v>0</v>
      </c>
      <c r="K81" s="61">
        <f t="shared" si="44"/>
        <v>0</v>
      </c>
      <c r="L81" s="61">
        <f t="shared" si="44"/>
        <v>0</v>
      </c>
      <c r="M81" s="61">
        <f t="shared" si="44"/>
        <v>0</v>
      </c>
      <c r="N81" s="61">
        <f t="shared" si="44"/>
        <v>0</v>
      </c>
      <c r="O81" s="61">
        <f t="shared" si="44"/>
        <v>0</v>
      </c>
      <c r="P81" s="61">
        <f t="shared" si="44"/>
        <v>0</v>
      </c>
      <c r="Q81" s="61">
        <f t="shared" si="44"/>
        <v>0</v>
      </c>
      <c r="R81" s="61">
        <f t="shared" si="44"/>
        <v>0</v>
      </c>
      <c r="S81" s="61">
        <f t="shared" si="44"/>
        <v>0</v>
      </c>
      <c r="T81" s="61">
        <f t="shared" si="44"/>
        <v>0</v>
      </c>
      <c r="U81" s="61">
        <f t="shared" si="44"/>
        <v>0</v>
      </c>
      <c r="V81" s="61">
        <f t="shared" si="44"/>
        <v>0</v>
      </c>
      <c r="W81" s="61">
        <f t="shared" si="44"/>
        <v>0</v>
      </c>
      <c r="X81" s="61">
        <f t="shared" si="44"/>
        <v>0</v>
      </c>
      <c r="Y81" s="61">
        <f t="shared" si="44"/>
        <v>0</v>
      </c>
      <c r="Z81" s="61">
        <f t="shared" si="44"/>
        <v>0</v>
      </c>
      <c r="AA81" s="61">
        <f t="shared" si="44"/>
        <v>0</v>
      </c>
      <c r="AB81" s="61">
        <f>AB75-AB80</f>
        <v>0</v>
      </c>
      <c r="AC81" s="61">
        <f t="shared" si="44"/>
        <v>0</v>
      </c>
      <c r="AD81" s="61">
        <f t="shared" si="44"/>
        <v>0</v>
      </c>
      <c r="AE81" s="61">
        <f t="shared" si="44"/>
        <v>0</v>
      </c>
      <c r="AF81" s="61">
        <f>AF75-AF80</f>
        <v>2076983400.2</v>
      </c>
      <c r="AG81" s="61">
        <f t="shared" si="44"/>
        <v>1772508619</v>
      </c>
      <c r="AH81" s="61" t="e">
        <f t="shared" ref="AH81:AI81" si="45">AH50-AH61-AH62</f>
        <v>#REF!</v>
      </c>
      <c r="AI81" s="61" t="e">
        <f t="shared" si="45"/>
        <v>#REF!</v>
      </c>
    </row>
    <row r="82" spans="4:35" x14ac:dyDescent="0.25">
      <c r="H82" s="61"/>
      <c r="M82" s="61"/>
      <c r="O82" s="61"/>
      <c r="T82" s="61"/>
      <c r="AA82" s="61"/>
      <c r="AB82" s="61">
        <f>AB80-AA80</f>
        <v>1798787124.29</v>
      </c>
      <c r="AC82" s="61"/>
      <c r="AE82" s="61"/>
      <c r="AG82" s="61"/>
      <c r="AH82" s="61"/>
      <c r="AI82" s="47">
        <v>13142</v>
      </c>
    </row>
    <row r="83" spans="4:35" x14ac:dyDescent="0.25">
      <c r="AB83" s="61"/>
      <c r="AE83" s="61"/>
      <c r="AF83" s="61"/>
      <c r="AG83" s="61"/>
      <c r="AH83" s="61"/>
      <c r="AI83" s="61"/>
    </row>
    <row r="84" spans="4:35" x14ac:dyDescent="0.25">
      <c r="D84" s="61"/>
      <c r="E84" s="61"/>
      <c r="Z84" s="234"/>
      <c r="AA84" s="234"/>
      <c r="AB84" s="234"/>
      <c r="AE84" s="61"/>
      <c r="AF84" s="61"/>
    </row>
    <row r="85" spans="4:35" x14ac:dyDescent="0.25">
      <c r="D85" s="61"/>
      <c r="E85" s="61"/>
      <c r="Z85" s="234"/>
      <c r="AA85" s="234"/>
      <c r="AB85" s="234"/>
    </row>
    <row r="86" spans="4:35" x14ac:dyDescent="0.25">
      <c r="D86" s="61"/>
      <c r="E86" s="61"/>
      <c r="T86" s="59"/>
      <c r="U86" s="59"/>
      <c r="Z86" s="234"/>
      <c r="AA86" s="234"/>
      <c r="AB86" s="235"/>
    </row>
    <row r="87" spans="4:35" x14ac:dyDescent="0.25">
      <c r="D87" s="61"/>
      <c r="E87" s="61"/>
    </row>
    <row r="88" spans="4:35" x14ac:dyDescent="0.25">
      <c r="D88" s="61"/>
      <c r="E88" s="61"/>
    </row>
    <row r="89" spans="4:35" x14ac:dyDescent="0.25">
      <c r="D89" s="61"/>
      <c r="E89" s="61"/>
    </row>
    <row r="90" spans="4:35" x14ac:dyDescent="0.25">
      <c r="D90" s="61"/>
      <c r="E90" s="61"/>
    </row>
    <row r="91" spans="4:35" x14ac:dyDescent="0.25">
      <c r="D91" s="61"/>
      <c r="E91" s="61"/>
    </row>
    <row r="92" spans="4:35" x14ac:dyDescent="0.25">
      <c r="D92" s="61"/>
      <c r="E92" s="61"/>
    </row>
    <row r="93" spans="4:35" x14ac:dyDescent="0.25">
      <c r="D93" s="61"/>
      <c r="E93" s="61"/>
    </row>
    <row r="94" spans="4:35" x14ac:dyDescent="0.25">
      <c r="D94" s="61"/>
      <c r="E94" s="61"/>
    </row>
    <row r="95" spans="4:35" x14ac:dyDescent="0.25">
      <c r="D95" s="61"/>
      <c r="E95" s="61"/>
    </row>
  </sheetData>
  <mergeCells count="30">
    <mergeCell ref="X3:Y3"/>
    <mergeCell ref="Z3:AA3"/>
    <mergeCell ref="AB3:AC3"/>
    <mergeCell ref="AD3:AE3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C2:AG2"/>
    <mergeCell ref="X1:AD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1" fitToHeight="2" orientation="landscape" r:id="rId1"/>
  <rowBreaks count="1" manualBreakCount="1">
    <brk id="83" max="35" man="1"/>
  </rowBreaks>
  <colBreaks count="1" manualBreakCount="1">
    <brk id="3" max="9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Z25"/>
  <sheetViews>
    <sheetView view="pageBreakPreview" zoomScaleNormal="100" zoomScaleSheetLayoutView="100" workbookViewId="0">
      <selection activeCell="J13" sqref="J13"/>
    </sheetView>
  </sheetViews>
  <sheetFormatPr defaultRowHeight="15" x14ac:dyDescent="0.25"/>
  <cols>
    <col min="1" max="1" width="6" style="87" customWidth="1"/>
    <col min="2" max="2" width="10.7109375" style="104" customWidth="1"/>
    <col min="3" max="3" width="40.7109375" style="87" customWidth="1"/>
    <col min="4" max="4" width="12.28515625" style="87" customWidth="1"/>
    <col min="5" max="5" width="14.28515625" style="87" bestFit="1" customWidth="1"/>
    <col min="6" max="6" width="13.42578125" style="87" customWidth="1"/>
    <col min="7" max="11" width="12.28515625" style="87" customWidth="1"/>
    <col min="12" max="13" width="10.85546875" style="87" customWidth="1"/>
    <col min="14" max="15" width="13.140625" style="87" customWidth="1"/>
    <col min="16" max="17" width="11.28515625" style="87" customWidth="1"/>
    <col min="18" max="18" width="12.28515625" style="87" customWidth="1"/>
    <col min="19" max="19" width="10.140625" style="87" customWidth="1"/>
    <col min="20" max="21" width="10.85546875" style="87" customWidth="1"/>
    <col min="22" max="22" width="13.28515625" style="87" customWidth="1"/>
    <col min="23" max="23" width="10.140625" style="87" hidden="1" customWidth="1"/>
    <col min="24" max="24" width="8.140625" style="87" hidden="1" customWidth="1"/>
    <col min="25" max="25" width="12.42578125" style="87" bestFit="1" customWidth="1"/>
    <col min="26" max="16384" width="9.140625" style="87"/>
  </cols>
  <sheetData>
    <row r="1" spans="1:26" x14ac:dyDescent="0.25">
      <c r="N1" s="330" t="s">
        <v>616</v>
      </c>
      <c r="O1" s="330"/>
      <c r="P1" s="330"/>
      <c r="Q1" s="330"/>
      <c r="R1" s="330"/>
      <c r="S1" s="330"/>
      <c r="T1" s="330"/>
      <c r="U1" s="330"/>
      <c r="V1" s="330"/>
    </row>
    <row r="2" spans="1:26" ht="48" customHeight="1" x14ac:dyDescent="0.25">
      <c r="A2" s="104"/>
      <c r="C2" s="350" t="s">
        <v>545</v>
      </c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Y2" s="95"/>
    </row>
    <row r="3" spans="1:26" ht="48" customHeight="1" x14ac:dyDescent="0.25">
      <c r="A3" s="161" t="s">
        <v>147</v>
      </c>
      <c r="B3" s="161" t="s">
        <v>170</v>
      </c>
      <c r="C3" s="149" t="s">
        <v>148</v>
      </c>
      <c r="D3" s="357" t="s">
        <v>149</v>
      </c>
      <c r="E3" s="358"/>
      <c r="F3" s="357" t="s">
        <v>150</v>
      </c>
      <c r="G3" s="358"/>
      <c r="H3" s="357" t="s">
        <v>188</v>
      </c>
      <c r="I3" s="358"/>
      <c r="J3" s="357" t="s">
        <v>194</v>
      </c>
      <c r="K3" s="358"/>
      <c r="L3" s="357" t="s">
        <v>195</v>
      </c>
      <c r="M3" s="358"/>
      <c r="N3" s="357" t="s">
        <v>196</v>
      </c>
      <c r="O3" s="358"/>
      <c r="P3" s="357" t="s">
        <v>197</v>
      </c>
      <c r="Q3" s="358"/>
      <c r="R3" s="357" t="s">
        <v>244</v>
      </c>
      <c r="S3" s="358"/>
      <c r="T3" s="357" t="s">
        <v>229</v>
      </c>
      <c r="U3" s="358"/>
      <c r="V3" s="359" t="s">
        <v>354</v>
      </c>
      <c r="W3" s="360"/>
      <c r="X3" s="360"/>
      <c r="Y3" s="361"/>
    </row>
    <row r="4" spans="1:26" ht="57.75" customHeight="1" x14ac:dyDescent="0.25">
      <c r="A4" s="167" t="s">
        <v>374</v>
      </c>
      <c r="B4" s="167" t="s">
        <v>254</v>
      </c>
      <c r="C4" s="105" t="s">
        <v>199</v>
      </c>
      <c r="D4" s="352" t="s">
        <v>89</v>
      </c>
      <c r="E4" s="353"/>
      <c r="F4" s="352" t="s">
        <v>245</v>
      </c>
      <c r="G4" s="353"/>
      <c r="H4" s="352" t="s">
        <v>91</v>
      </c>
      <c r="I4" s="353"/>
      <c r="J4" s="352" t="s">
        <v>471</v>
      </c>
      <c r="K4" s="353"/>
      <c r="L4" s="352" t="s">
        <v>93</v>
      </c>
      <c r="M4" s="353"/>
      <c r="N4" s="352" t="s">
        <v>107</v>
      </c>
      <c r="O4" s="353"/>
      <c r="P4" s="352" t="s">
        <v>110</v>
      </c>
      <c r="Q4" s="353"/>
      <c r="R4" s="352" t="s">
        <v>249</v>
      </c>
      <c r="S4" s="353"/>
      <c r="T4" s="352" t="s">
        <v>250</v>
      </c>
      <c r="U4" s="353"/>
      <c r="V4" s="354" t="s">
        <v>219</v>
      </c>
      <c r="W4" s="355"/>
      <c r="X4" s="355"/>
      <c r="Y4" s="356"/>
    </row>
    <row r="5" spans="1:26" ht="57" x14ac:dyDescent="0.25">
      <c r="A5" s="88">
        <v>1</v>
      </c>
      <c r="B5" s="101"/>
      <c r="C5" s="105" t="s">
        <v>225</v>
      </c>
      <c r="D5" s="92" t="s">
        <v>539</v>
      </c>
      <c r="E5" s="56" t="s">
        <v>540</v>
      </c>
      <c r="F5" s="92" t="s">
        <v>539</v>
      </c>
      <c r="G5" s="56" t="s">
        <v>540</v>
      </c>
      <c r="H5" s="92" t="s">
        <v>539</v>
      </c>
      <c r="I5" s="56" t="s">
        <v>540</v>
      </c>
      <c r="J5" s="92" t="s">
        <v>539</v>
      </c>
      <c r="K5" s="56" t="s">
        <v>540</v>
      </c>
      <c r="L5" s="92" t="s">
        <v>539</v>
      </c>
      <c r="M5" s="56" t="s">
        <v>540</v>
      </c>
      <c r="N5" s="92" t="s">
        <v>539</v>
      </c>
      <c r="O5" s="56" t="s">
        <v>540</v>
      </c>
      <c r="P5" s="92" t="s">
        <v>539</v>
      </c>
      <c r="Q5" s="56" t="s">
        <v>540</v>
      </c>
      <c r="R5" s="92" t="s">
        <v>539</v>
      </c>
      <c r="S5" s="56" t="s">
        <v>540</v>
      </c>
      <c r="T5" s="92" t="s">
        <v>539</v>
      </c>
      <c r="U5" s="56" t="s">
        <v>540</v>
      </c>
      <c r="V5" s="92" t="s">
        <v>539</v>
      </c>
      <c r="W5" s="56" t="s">
        <v>490</v>
      </c>
      <c r="X5" s="92" t="s">
        <v>489</v>
      </c>
      <c r="Y5" s="56" t="s">
        <v>540</v>
      </c>
    </row>
    <row r="6" spans="1:26" x14ac:dyDescent="0.25">
      <c r="A6" s="88">
        <v>2</v>
      </c>
      <c r="B6" s="88" t="s">
        <v>265</v>
      </c>
      <c r="C6" s="106" t="s">
        <v>262</v>
      </c>
      <c r="D6" s="140">
        <f>33600000+8000000</f>
        <v>41600000</v>
      </c>
      <c r="E6" s="140">
        <f>33600000+8000000</f>
        <v>41600000</v>
      </c>
      <c r="F6" s="140">
        <f>D6*13%</f>
        <v>5408000</v>
      </c>
      <c r="G6" s="140">
        <f>E6*13%</f>
        <v>5408000</v>
      </c>
      <c r="H6" s="140"/>
      <c r="I6" s="140"/>
      <c r="J6" s="141"/>
      <c r="K6" s="141"/>
      <c r="L6" s="139"/>
      <c r="M6" s="139"/>
      <c r="N6" s="139"/>
      <c r="O6" s="139"/>
      <c r="P6" s="139"/>
      <c r="Q6" s="139"/>
      <c r="R6" s="139"/>
      <c r="S6" s="139"/>
      <c r="T6" s="141"/>
      <c r="U6" s="141"/>
      <c r="V6" s="147">
        <f>D6+F6+H6+J6+L6+N6+P6+R6+T6</f>
        <v>47008000</v>
      </c>
      <c r="W6" s="147">
        <f t="shared" ref="W6:X7" si="0">E6+G6+I6+K6+M6+O6+Q6+S6+U6</f>
        <v>47008000</v>
      </c>
      <c r="X6" s="147">
        <f t="shared" si="0"/>
        <v>52416000</v>
      </c>
      <c r="Y6" s="147">
        <f>E6+G6+I6+K6+M6+O6+Q6+S6+U6</f>
        <v>47008000</v>
      </c>
    </row>
    <row r="7" spans="1:26" x14ac:dyDescent="0.25">
      <c r="A7" s="88">
        <v>3</v>
      </c>
      <c r="B7" s="88" t="s">
        <v>205</v>
      </c>
      <c r="C7" s="106" t="s">
        <v>226</v>
      </c>
      <c r="D7" s="140">
        <v>136167000</v>
      </c>
      <c r="E7" s="140">
        <v>129726782</v>
      </c>
      <c r="F7" s="140">
        <f>23769790-F6</f>
        <v>18361790</v>
      </c>
      <c r="G7" s="140">
        <v>19381689</v>
      </c>
      <c r="H7" s="140">
        <f>12726800+3607000</f>
        <v>16333800</v>
      </c>
      <c r="I7" s="140">
        <v>14620082</v>
      </c>
      <c r="J7" s="141"/>
      <c r="K7" s="141"/>
      <c r="L7" s="139"/>
      <c r="M7" s="139"/>
      <c r="N7" s="139">
        <v>2000000</v>
      </c>
      <c r="O7" s="139">
        <v>913426</v>
      </c>
      <c r="P7" s="139"/>
      <c r="Q7" s="139"/>
      <c r="R7" s="139"/>
      <c r="S7" s="139"/>
      <c r="T7" s="141"/>
      <c r="U7" s="141"/>
      <c r="V7" s="147">
        <f>D7+F7+H7+J7+L7+N7+P7+R7+T7</f>
        <v>172862590</v>
      </c>
      <c r="W7" s="147">
        <f t="shared" si="0"/>
        <v>164641979</v>
      </c>
      <c r="X7" s="147">
        <f t="shared" si="0"/>
        <v>209558180</v>
      </c>
      <c r="Y7" s="147">
        <f>E7+G7+I7+K7+M7+O7+Q7+S7+U7</f>
        <v>164641979</v>
      </c>
    </row>
    <row r="8" spans="1:26" x14ac:dyDescent="0.25">
      <c r="A8" s="88">
        <v>5</v>
      </c>
      <c r="B8" s="88" t="s">
        <v>205</v>
      </c>
      <c r="C8" s="106" t="s">
        <v>525</v>
      </c>
      <c r="D8" s="140"/>
      <c r="E8" s="140"/>
      <c r="F8" s="140"/>
      <c r="G8" s="140"/>
      <c r="H8" s="140"/>
      <c r="I8" s="140"/>
      <c r="J8" s="141"/>
      <c r="K8" s="141"/>
      <c r="L8" s="139"/>
      <c r="M8" s="139"/>
      <c r="N8" s="139"/>
      <c r="O8" s="139"/>
      <c r="P8" s="139"/>
      <c r="Q8" s="139"/>
      <c r="R8" s="139"/>
      <c r="S8" s="139"/>
      <c r="T8" s="141"/>
      <c r="U8" s="141"/>
      <c r="V8" s="147">
        <f t="shared" ref="V8:V9" si="1">D8+F8+H8+J8+L8+N8+P8+R8+T8</f>
        <v>0</v>
      </c>
      <c r="W8" s="147">
        <f t="shared" ref="W8" si="2">E8+G8+I8+K8+M8+O8+Q8+S8+U8</f>
        <v>0</v>
      </c>
      <c r="X8" s="147">
        <f t="shared" ref="X8" si="3">F8+H8+J8+L8+N8+P8+R8+T8+V8</f>
        <v>0</v>
      </c>
      <c r="Y8" s="147">
        <f t="shared" ref="Y8:Y9" si="4">E8+G8+I8+K8+M8+O8+Q8+S8+U8</f>
        <v>0</v>
      </c>
    </row>
    <row r="9" spans="1:26" x14ac:dyDescent="0.25">
      <c r="A9" s="88">
        <v>6</v>
      </c>
      <c r="B9" s="88"/>
      <c r="C9" s="106" t="s">
        <v>575</v>
      </c>
      <c r="D9" s="140"/>
      <c r="E9" s="140"/>
      <c r="F9" s="140"/>
      <c r="G9" s="140"/>
      <c r="H9" s="140"/>
      <c r="I9" s="140">
        <v>114748</v>
      </c>
      <c r="J9" s="141"/>
      <c r="K9" s="141"/>
      <c r="L9" s="139"/>
      <c r="M9" s="139"/>
      <c r="N9" s="139"/>
      <c r="O9" s="139"/>
      <c r="P9" s="139"/>
      <c r="Q9" s="139"/>
      <c r="R9" s="139"/>
      <c r="S9" s="139"/>
      <c r="T9" s="141"/>
      <c r="U9" s="141"/>
      <c r="V9" s="147">
        <f t="shared" si="1"/>
        <v>0</v>
      </c>
      <c r="W9" s="147"/>
      <c r="X9" s="147"/>
      <c r="Y9" s="147">
        <f t="shared" si="4"/>
        <v>114748</v>
      </c>
    </row>
    <row r="10" spans="1:26" ht="15.75" x14ac:dyDescent="0.25">
      <c r="A10" s="88">
        <v>7.3</v>
      </c>
      <c r="B10" s="88"/>
      <c r="C10" s="105" t="s">
        <v>227</v>
      </c>
      <c r="D10" s="147">
        <f>SUM(D6:D8)</f>
        <v>177767000</v>
      </c>
      <c r="E10" s="147">
        <f>SUM(E6:E8)</f>
        <v>171326782</v>
      </c>
      <c r="F10" s="147">
        <f t="shared" ref="F10:U10" si="5">SUM(F6:F8)</f>
        <v>23769790</v>
      </c>
      <c r="G10" s="147">
        <f t="shared" si="5"/>
        <v>24789689</v>
      </c>
      <c r="H10" s="147">
        <f t="shared" si="5"/>
        <v>16333800</v>
      </c>
      <c r="I10" s="147">
        <f>SUM(I6:I9)</f>
        <v>14734830</v>
      </c>
      <c r="J10" s="147">
        <f t="shared" si="5"/>
        <v>0</v>
      </c>
      <c r="K10" s="147">
        <f t="shared" si="5"/>
        <v>0</v>
      </c>
      <c r="L10" s="147">
        <f t="shared" si="5"/>
        <v>0</v>
      </c>
      <c r="M10" s="147">
        <f t="shared" si="5"/>
        <v>0</v>
      </c>
      <c r="N10" s="147">
        <f t="shared" si="5"/>
        <v>2000000</v>
      </c>
      <c r="O10" s="147">
        <f t="shared" si="5"/>
        <v>913426</v>
      </c>
      <c r="P10" s="147">
        <f t="shared" si="5"/>
        <v>0</v>
      </c>
      <c r="Q10" s="147">
        <f t="shared" si="5"/>
        <v>0</v>
      </c>
      <c r="R10" s="147">
        <f t="shared" si="5"/>
        <v>0</v>
      </c>
      <c r="S10" s="147">
        <f t="shared" si="5"/>
        <v>0</v>
      </c>
      <c r="T10" s="147">
        <f t="shared" si="5"/>
        <v>0</v>
      </c>
      <c r="U10" s="147">
        <f t="shared" si="5"/>
        <v>0</v>
      </c>
      <c r="V10" s="147">
        <f>SUM(V6:V8)</f>
        <v>219870590</v>
      </c>
      <c r="W10" s="147">
        <f t="shared" ref="W10:X10" si="6">SUM(W6:W8)</f>
        <v>211649979</v>
      </c>
      <c r="X10" s="147">
        <f t="shared" si="6"/>
        <v>261974180</v>
      </c>
      <c r="Y10" s="147">
        <f>SUM(Y6:Y9)</f>
        <v>211764727</v>
      </c>
      <c r="Z10" s="116"/>
    </row>
    <row r="11" spans="1:26" x14ac:dyDescent="0.25">
      <c r="A11" s="88">
        <v>8.6</v>
      </c>
      <c r="B11" s="88"/>
      <c r="C11" s="95" t="s">
        <v>215</v>
      </c>
      <c r="D11" s="138">
        <f>D7+D8</f>
        <v>136167000</v>
      </c>
      <c r="E11" s="138">
        <f t="shared" ref="E11:X11" si="7">E7+E8</f>
        <v>129726782</v>
      </c>
      <c r="F11" s="138">
        <f t="shared" si="7"/>
        <v>18361790</v>
      </c>
      <c r="G11" s="138">
        <f t="shared" si="7"/>
        <v>19381689</v>
      </c>
      <c r="H11" s="138">
        <f t="shared" si="7"/>
        <v>16333800</v>
      </c>
      <c r="I11" s="138">
        <f>I7+I8+I9</f>
        <v>14734830</v>
      </c>
      <c r="J11" s="138">
        <f t="shared" si="7"/>
        <v>0</v>
      </c>
      <c r="K11" s="138">
        <f t="shared" si="7"/>
        <v>0</v>
      </c>
      <c r="L11" s="138">
        <f t="shared" si="7"/>
        <v>0</v>
      </c>
      <c r="M11" s="138">
        <f t="shared" si="7"/>
        <v>0</v>
      </c>
      <c r="N11" s="138">
        <f t="shared" si="7"/>
        <v>2000000</v>
      </c>
      <c r="O11" s="138">
        <f t="shared" si="7"/>
        <v>913426</v>
      </c>
      <c r="P11" s="138">
        <f t="shared" si="7"/>
        <v>0</v>
      </c>
      <c r="Q11" s="138">
        <f t="shared" si="7"/>
        <v>0</v>
      </c>
      <c r="R11" s="138">
        <f t="shared" si="7"/>
        <v>0</v>
      </c>
      <c r="S11" s="138">
        <f t="shared" si="7"/>
        <v>0</v>
      </c>
      <c r="T11" s="138">
        <f t="shared" si="7"/>
        <v>0</v>
      </c>
      <c r="U11" s="138">
        <f t="shared" si="7"/>
        <v>0</v>
      </c>
      <c r="V11" s="138">
        <f t="shared" si="7"/>
        <v>172862590</v>
      </c>
      <c r="W11" s="138">
        <f t="shared" si="7"/>
        <v>164641979</v>
      </c>
      <c r="X11" s="138">
        <f t="shared" si="7"/>
        <v>209558180</v>
      </c>
      <c r="Y11" s="138">
        <f>Y7+Y8+Y9</f>
        <v>164756727</v>
      </c>
    </row>
    <row r="12" spans="1:26" x14ac:dyDescent="0.25">
      <c r="A12" s="88">
        <v>9.9</v>
      </c>
      <c r="B12" s="88"/>
      <c r="C12" s="95" t="s">
        <v>262</v>
      </c>
      <c r="D12" s="138">
        <f>D6</f>
        <v>41600000</v>
      </c>
      <c r="E12" s="138">
        <f t="shared" ref="E12:Y12" si="8">E6</f>
        <v>41600000</v>
      </c>
      <c r="F12" s="138">
        <f t="shared" si="8"/>
        <v>5408000</v>
      </c>
      <c r="G12" s="138">
        <f t="shared" si="8"/>
        <v>5408000</v>
      </c>
      <c r="H12" s="138">
        <f t="shared" si="8"/>
        <v>0</v>
      </c>
      <c r="I12" s="138">
        <f t="shared" si="8"/>
        <v>0</v>
      </c>
      <c r="J12" s="138">
        <f t="shared" si="8"/>
        <v>0</v>
      </c>
      <c r="K12" s="138">
        <f t="shared" si="8"/>
        <v>0</v>
      </c>
      <c r="L12" s="138">
        <f t="shared" si="8"/>
        <v>0</v>
      </c>
      <c r="M12" s="138">
        <f t="shared" si="8"/>
        <v>0</v>
      </c>
      <c r="N12" s="138">
        <f t="shared" si="8"/>
        <v>0</v>
      </c>
      <c r="O12" s="138">
        <f t="shared" si="8"/>
        <v>0</v>
      </c>
      <c r="P12" s="138">
        <f t="shared" si="8"/>
        <v>0</v>
      </c>
      <c r="Q12" s="138">
        <f t="shared" si="8"/>
        <v>0</v>
      </c>
      <c r="R12" s="138">
        <f t="shared" si="8"/>
        <v>0</v>
      </c>
      <c r="S12" s="138">
        <f t="shared" si="8"/>
        <v>0</v>
      </c>
      <c r="T12" s="138">
        <f t="shared" si="8"/>
        <v>0</v>
      </c>
      <c r="U12" s="138">
        <f t="shared" si="8"/>
        <v>0</v>
      </c>
      <c r="V12" s="138">
        <f t="shared" si="8"/>
        <v>47008000</v>
      </c>
      <c r="W12" s="138">
        <f t="shared" si="8"/>
        <v>47008000</v>
      </c>
      <c r="X12" s="138">
        <f t="shared" si="8"/>
        <v>52416000</v>
      </c>
      <c r="Y12" s="138">
        <f t="shared" si="8"/>
        <v>47008000</v>
      </c>
    </row>
    <row r="13" spans="1:26" x14ac:dyDescent="0.25">
      <c r="A13" s="88">
        <v>11.2</v>
      </c>
      <c r="B13" s="88"/>
      <c r="C13" s="95" t="s">
        <v>256</v>
      </c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48">
        <v>17</v>
      </c>
      <c r="W13" s="148">
        <v>17</v>
      </c>
      <c r="X13" s="148">
        <v>17</v>
      </c>
      <c r="Y13" s="148">
        <v>17</v>
      </c>
    </row>
    <row r="14" spans="1:26" x14ac:dyDescent="0.25">
      <c r="A14" s="88">
        <v>12.5</v>
      </c>
      <c r="B14" s="88"/>
      <c r="C14" s="95" t="s">
        <v>257</v>
      </c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>
        <v>0</v>
      </c>
      <c r="W14" s="138">
        <v>0</v>
      </c>
      <c r="X14" s="138">
        <v>0</v>
      </c>
      <c r="Y14" s="138">
        <v>0</v>
      </c>
    </row>
    <row r="15" spans="1:26" x14ac:dyDescent="0.25">
      <c r="E15" s="116"/>
      <c r="F15" s="116"/>
      <c r="G15" s="116"/>
      <c r="I15" s="116"/>
    </row>
    <row r="17" spans="4:22" x14ac:dyDescent="0.25">
      <c r="D17" s="116"/>
      <c r="F17" s="116"/>
      <c r="U17" s="116"/>
      <c r="V17" s="116"/>
    </row>
    <row r="24" spans="4:22" x14ac:dyDescent="0.25">
      <c r="F24" s="116"/>
    </row>
    <row r="25" spans="4:22" x14ac:dyDescent="0.25">
      <c r="F25" s="116"/>
    </row>
  </sheetData>
  <mergeCells count="22">
    <mergeCell ref="V3:Y3"/>
    <mergeCell ref="L3:M3"/>
    <mergeCell ref="N3:O3"/>
    <mergeCell ref="P3:Q3"/>
    <mergeCell ref="R3:S3"/>
    <mergeCell ref="T3:U3"/>
    <mergeCell ref="C2:V2"/>
    <mergeCell ref="N1:V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D3:E3"/>
    <mergeCell ref="F3:G3"/>
    <mergeCell ref="H3:I3"/>
    <mergeCell ref="J3:K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X23"/>
  <sheetViews>
    <sheetView view="pageBreakPreview" topLeftCell="D1" zoomScaleNormal="100" zoomScaleSheetLayoutView="100" workbookViewId="0">
      <selection activeCell="P1" sqref="P1:V1"/>
    </sheetView>
  </sheetViews>
  <sheetFormatPr defaultRowHeight="15" x14ac:dyDescent="0.25"/>
  <cols>
    <col min="1" max="1" width="5.5703125" style="47" customWidth="1"/>
    <col min="2" max="2" width="14" style="107" customWidth="1"/>
    <col min="3" max="3" width="29.28515625" style="47" customWidth="1"/>
    <col min="4" max="13" width="12.28515625" style="47" customWidth="1"/>
    <col min="14" max="15" width="14.28515625" style="47" customWidth="1"/>
    <col min="16" max="21" width="12.28515625" style="47" customWidth="1"/>
    <col min="22" max="22" width="13.42578125" style="47" customWidth="1"/>
    <col min="23" max="23" width="16.140625" style="59" customWidth="1"/>
    <col min="24" max="24" width="11.85546875" style="47" customWidth="1"/>
    <col min="25" max="16384" width="9.140625" style="47"/>
  </cols>
  <sheetData>
    <row r="1" spans="1:24" x14ac:dyDescent="0.25">
      <c r="P1" s="362" t="s">
        <v>617</v>
      </c>
      <c r="Q1" s="362"/>
      <c r="R1" s="362"/>
      <c r="S1" s="362"/>
      <c r="T1" s="362"/>
      <c r="U1" s="362"/>
      <c r="V1" s="362"/>
    </row>
    <row r="2" spans="1:24" ht="54" customHeight="1" x14ac:dyDescent="0.25">
      <c r="A2" s="44"/>
      <c r="B2" s="108"/>
      <c r="C2" s="363" t="s">
        <v>542</v>
      </c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5"/>
    </row>
    <row r="3" spans="1:24" ht="54" customHeight="1" x14ac:dyDescent="0.25">
      <c r="A3" s="73" t="s">
        <v>147</v>
      </c>
      <c r="B3" s="62" t="s">
        <v>170</v>
      </c>
      <c r="C3" s="150" t="s">
        <v>148</v>
      </c>
      <c r="D3" s="366" t="s">
        <v>149</v>
      </c>
      <c r="E3" s="366"/>
      <c r="F3" s="366" t="s">
        <v>150</v>
      </c>
      <c r="G3" s="366"/>
      <c r="H3" s="366" t="s">
        <v>188</v>
      </c>
      <c r="I3" s="366"/>
      <c r="J3" s="366" t="s">
        <v>194</v>
      </c>
      <c r="K3" s="366"/>
      <c r="L3" s="366" t="s">
        <v>195</v>
      </c>
      <c r="M3" s="366"/>
      <c r="N3" s="366" t="s">
        <v>196</v>
      </c>
      <c r="O3" s="366"/>
      <c r="P3" s="366" t="s">
        <v>197</v>
      </c>
      <c r="Q3" s="366"/>
      <c r="R3" s="366" t="s">
        <v>244</v>
      </c>
      <c r="S3" s="366"/>
      <c r="T3" s="366" t="s">
        <v>229</v>
      </c>
      <c r="U3" s="366"/>
      <c r="V3" s="366" t="s">
        <v>354</v>
      </c>
      <c r="W3" s="367"/>
    </row>
    <row r="4" spans="1:24" ht="30" x14ac:dyDescent="0.25">
      <c r="A4" s="176" t="s">
        <v>374</v>
      </c>
      <c r="B4" s="175" t="s">
        <v>232</v>
      </c>
      <c r="C4" s="55" t="s">
        <v>199</v>
      </c>
      <c r="D4" s="352" t="s">
        <v>89</v>
      </c>
      <c r="E4" s="353"/>
      <c r="F4" s="352" t="s">
        <v>245</v>
      </c>
      <c r="G4" s="353"/>
      <c r="H4" s="352" t="s">
        <v>91</v>
      </c>
      <c r="I4" s="353"/>
      <c r="J4" s="352" t="s">
        <v>246</v>
      </c>
      <c r="K4" s="353"/>
      <c r="L4" s="352" t="s">
        <v>264</v>
      </c>
      <c r="M4" s="353"/>
      <c r="N4" s="352" t="s">
        <v>107</v>
      </c>
      <c r="O4" s="353"/>
      <c r="P4" s="352" t="s">
        <v>110</v>
      </c>
      <c r="Q4" s="353"/>
      <c r="R4" s="352" t="s">
        <v>249</v>
      </c>
      <c r="S4" s="353"/>
      <c r="T4" s="352" t="s">
        <v>255</v>
      </c>
      <c r="U4" s="353"/>
      <c r="V4" s="334" t="s">
        <v>219</v>
      </c>
      <c r="W4" s="334"/>
    </row>
    <row r="5" spans="1:24" ht="28.5" x14ac:dyDescent="0.25">
      <c r="A5" s="54" t="s">
        <v>3</v>
      </c>
      <c r="B5" s="58"/>
      <c r="C5" s="55" t="s">
        <v>225</v>
      </c>
      <c r="D5" s="92" t="s">
        <v>539</v>
      </c>
      <c r="E5" s="56" t="s">
        <v>540</v>
      </c>
      <c r="F5" s="92" t="s">
        <v>539</v>
      </c>
      <c r="G5" s="56" t="s">
        <v>540</v>
      </c>
      <c r="H5" s="92" t="s">
        <v>539</v>
      </c>
      <c r="I5" s="56" t="s">
        <v>540</v>
      </c>
      <c r="J5" s="92" t="s">
        <v>539</v>
      </c>
      <c r="K5" s="56" t="s">
        <v>540</v>
      </c>
      <c r="L5" s="92" t="s">
        <v>539</v>
      </c>
      <c r="M5" s="56" t="s">
        <v>540</v>
      </c>
      <c r="N5" s="92" t="s">
        <v>539</v>
      </c>
      <c r="O5" s="56" t="s">
        <v>540</v>
      </c>
      <c r="P5" s="92" t="s">
        <v>539</v>
      </c>
      <c r="Q5" s="56" t="s">
        <v>540</v>
      </c>
      <c r="R5" s="92" t="s">
        <v>539</v>
      </c>
      <c r="S5" s="56" t="s">
        <v>540</v>
      </c>
      <c r="T5" s="92" t="s">
        <v>539</v>
      </c>
      <c r="U5" s="56" t="s">
        <v>540</v>
      </c>
      <c r="V5" s="92" t="s">
        <v>539</v>
      </c>
      <c r="W5" s="56" t="s">
        <v>540</v>
      </c>
    </row>
    <row r="6" spans="1:24" x14ac:dyDescent="0.25">
      <c r="A6" s="54" t="s">
        <v>5</v>
      </c>
      <c r="B6" s="58" t="s">
        <v>205</v>
      </c>
      <c r="C6" s="45" t="s">
        <v>233</v>
      </c>
      <c r="D6" s="146"/>
      <c r="E6" s="146"/>
      <c r="F6" s="146">
        <f>D6*13%</f>
        <v>0</v>
      </c>
      <c r="G6" s="146">
        <v>14701</v>
      </c>
      <c r="H6" s="140">
        <f>2083500+705000</f>
        <v>2788500</v>
      </c>
      <c r="I6" s="140">
        <v>3702673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46">
        <f>T6+R6+P6+N6+L6+J6+H6+F6+D6</f>
        <v>2788500</v>
      </c>
      <c r="W6" s="68">
        <f>E6+G6+I6+K6+M6+O6+Q6+S6+U6</f>
        <v>3717374</v>
      </c>
      <c r="X6" s="61">
        <f>W6-V6</f>
        <v>928874</v>
      </c>
    </row>
    <row r="7" spans="1:24" x14ac:dyDescent="0.25">
      <c r="A7" s="54" t="s">
        <v>15</v>
      </c>
      <c r="B7" s="58" t="s">
        <v>205</v>
      </c>
      <c r="C7" s="45" t="s">
        <v>234</v>
      </c>
      <c r="D7" s="146"/>
      <c r="E7" s="146">
        <v>14423</v>
      </c>
      <c r="F7" s="146">
        <f t="shared" ref="F7:F16" si="0">D7*13%</f>
        <v>0</v>
      </c>
      <c r="G7" s="146">
        <v>5770</v>
      </c>
      <c r="H7" s="146">
        <f>720000+65000</f>
        <v>785000</v>
      </c>
      <c r="I7" s="146">
        <v>754115</v>
      </c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46">
        <f t="shared" ref="V7:V16" si="1">T7+R7+P7+N7+L7+J7+H7+F7+D7</f>
        <v>785000</v>
      </c>
      <c r="W7" s="68">
        <f t="shared" ref="W7:W15" si="2">E7+G7+I7+K7+M7+O7+Q7+S7+U7</f>
        <v>774308</v>
      </c>
      <c r="X7" s="61">
        <f t="shared" ref="X7:X16" si="3">W7-V7</f>
        <v>-10692</v>
      </c>
    </row>
    <row r="8" spans="1:24" x14ac:dyDescent="0.25">
      <c r="A8" s="54" t="s">
        <v>20</v>
      </c>
      <c r="B8" s="58" t="s">
        <v>207</v>
      </c>
      <c r="C8" s="45" t="s">
        <v>235</v>
      </c>
      <c r="D8" s="146">
        <v>1103954</v>
      </c>
      <c r="E8" s="146">
        <v>1020192</v>
      </c>
      <c r="F8" s="146">
        <f t="shared" si="0"/>
        <v>143514.02000000002</v>
      </c>
      <c r="G8" s="146">
        <v>140330</v>
      </c>
      <c r="H8" s="146">
        <f>1863500+400000</f>
        <v>2263500</v>
      </c>
      <c r="I8" s="146">
        <v>1739987</v>
      </c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46">
        <f t="shared" si="1"/>
        <v>3510968.02</v>
      </c>
      <c r="W8" s="68">
        <f t="shared" si="2"/>
        <v>2900509</v>
      </c>
      <c r="X8" s="61">
        <f t="shared" si="3"/>
        <v>-610459.02</v>
      </c>
    </row>
    <row r="9" spans="1:24" x14ac:dyDescent="0.25">
      <c r="A9" s="54" t="s">
        <v>29</v>
      </c>
      <c r="B9" s="58" t="s">
        <v>205</v>
      </c>
      <c r="C9" s="45" t="s">
        <v>236</v>
      </c>
      <c r="D9" s="146"/>
      <c r="E9" s="146"/>
      <c r="F9" s="146">
        <f t="shared" si="0"/>
        <v>0</v>
      </c>
      <c r="G9" s="146">
        <f t="shared" ref="G9:G10" si="4">E9*13%</f>
        <v>0</v>
      </c>
      <c r="H9" s="146">
        <f>590672+440000</f>
        <v>1030672</v>
      </c>
      <c r="I9" s="146">
        <v>622842</v>
      </c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46">
        <f t="shared" si="1"/>
        <v>1030672</v>
      </c>
      <c r="W9" s="68">
        <f t="shared" si="2"/>
        <v>622842</v>
      </c>
      <c r="X9" s="61">
        <f t="shared" si="3"/>
        <v>-407830</v>
      </c>
    </row>
    <row r="10" spans="1:24" x14ac:dyDescent="0.25">
      <c r="A10" s="54" t="s">
        <v>51</v>
      </c>
      <c r="B10" s="58" t="s">
        <v>205</v>
      </c>
      <c r="C10" s="45" t="s">
        <v>237</v>
      </c>
      <c r="D10" s="146"/>
      <c r="E10" s="146"/>
      <c r="F10" s="146">
        <f t="shared" si="0"/>
        <v>0</v>
      </c>
      <c r="G10" s="146">
        <f t="shared" si="4"/>
        <v>0</v>
      </c>
      <c r="H10" s="146">
        <f>1200000+400000+200000</f>
        <v>1800000</v>
      </c>
      <c r="I10" s="146">
        <v>1621151</v>
      </c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46">
        <f t="shared" si="1"/>
        <v>1800000</v>
      </c>
      <c r="W10" s="68">
        <f t="shared" si="2"/>
        <v>1621151</v>
      </c>
      <c r="X10" s="61">
        <f t="shared" si="3"/>
        <v>-178849</v>
      </c>
    </row>
    <row r="11" spans="1:24" x14ac:dyDescent="0.25">
      <c r="A11" s="54" t="s">
        <v>53</v>
      </c>
      <c r="B11" s="58" t="s">
        <v>207</v>
      </c>
      <c r="C11" s="45" t="s">
        <v>258</v>
      </c>
      <c r="D11" s="146">
        <f>90082295+130000*12</f>
        <v>91642295</v>
      </c>
      <c r="E11" s="146">
        <v>104367020</v>
      </c>
      <c r="F11" s="146">
        <f t="shared" si="0"/>
        <v>11913498.35</v>
      </c>
      <c r="G11" s="146">
        <v>14236557</v>
      </c>
      <c r="H11" s="146">
        <f>76082000+15900000</f>
        <v>91982000</v>
      </c>
      <c r="I11" s="146">
        <v>68899271</v>
      </c>
      <c r="J11" s="146"/>
      <c r="K11" s="146"/>
      <c r="L11" s="146"/>
      <c r="M11" s="146"/>
      <c r="N11" s="146">
        <v>2000000</v>
      </c>
      <c r="O11" s="146">
        <v>544380</v>
      </c>
      <c r="P11" s="146"/>
      <c r="Q11" s="146"/>
      <c r="R11" s="146"/>
      <c r="S11" s="146"/>
      <c r="T11" s="146"/>
      <c r="U11" s="146"/>
      <c r="V11" s="46">
        <f>T11+R11+P11+N11+L11+J11+H11+F11+D11</f>
        <v>197537793.34999999</v>
      </c>
      <c r="W11" s="68">
        <f t="shared" si="2"/>
        <v>188047228</v>
      </c>
      <c r="X11" s="61">
        <f t="shared" si="3"/>
        <v>-9490565.349999994</v>
      </c>
    </row>
    <row r="12" spans="1:24" x14ac:dyDescent="0.25">
      <c r="A12" s="54" t="s">
        <v>55</v>
      </c>
      <c r="B12" s="58" t="s">
        <v>205</v>
      </c>
      <c r="C12" s="45" t="s">
        <v>239</v>
      </c>
      <c r="D12" s="146">
        <v>15516488</v>
      </c>
      <c r="E12" s="146">
        <v>16499094</v>
      </c>
      <c r="F12" s="146">
        <f t="shared" si="0"/>
        <v>2017143.4400000002</v>
      </c>
      <c r="G12" s="146">
        <v>2162423</v>
      </c>
      <c r="H12" s="146">
        <f>2457500+1210000</f>
        <v>3667500</v>
      </c>
      <c r="I12" s="146">
        <v>3804517</v>
      </c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46">
        <f t="shared" si="1"/>
        <v>21201131.440000001</v>
      </c>
      <c r="W12" s="68">
        <f t="shared" si="2"/>
        <v>22466034</v>
      </c>
      <c r="X12" s="61">
        <f t="shared" si="3"/>
        <v>1264902.5599999987</v>
      </c>
    </row>
    <row r="13" spans="1:24" x14ac:dyDescent="0.25">
      <c r="A13" s="54" t="s">
        <v>57</v>
      </c>
      <c r="B13" s="58" t="s">
        <v>205</v>
      </c>
      <c r="C13" s="45" t="s">
        <v>492</v>
      </c>
      <c r="D13" s="146">
        <v>4858556</v>
      </c>
      <c r="E13" s="146">
        <v>5233277</v>
      </c>
      <c r="F13" s="146">
        <f t="shared" ref="F13" si="5">D13*13%</f>
        <v>631612.28</v>
      </c>
      <c r="G13" s="146">
        <v>674522</v>
      </c>
      <c r="H13" s="146">
        <f>3534000+50000</f>
        <v>3584000</v>
      </c>
      <c r="I13" s="146">
        <v>2764564</v>
      </c>
      <c r="J13" s="146"/>
      <c r="K13" s="146"/>
      <c r="L13" s="146">
        <v>30000</v>
      </c>
      <c r="M13" s="146">
        <v>0</v>
      </c>
      <c r="N13" s="146"/>
      <c r="O13" s="146"/>
      <c r="P13" s="146"/>
      <c r="Q13" s="146"/>
      <c r="R13" s="146"/>
      <c r="S13" s="146"/>
      <c r="T13" s="146"/>
      <c r="U13" s="146"/>
      <c r="V13" s="46">
        <f t="shared" ref="V13:V14" si="6">T13+R13+P13+N13+L13+J13+H13+F13+D13</f>
        <v>9104168.2800000012</v>
      </c>
      <c r="W13" s="68">
        <f t="shared" ref="W13:W14" si="7">E13+G13+I13+K13+M13+O13+Q13+S13+U13</f>
        <v>8672363</v>
      </c>
      <c r="X13" s="61">
        <f t="shared" si="3"/>
        <v>-431805.28000000119</v>
      </c>
    </row>
    <row r="14" spans="1:24" x14ac:dyDescent="0.25">
      <c r="A14" s="54" t="s">
        <v>58</v>
      </c>
      <c r="B14" s="58" t="s">
        <v>205</v>
      </c>
      <c r="C14" s="45" t="s">
        <v>276</v>
      </c>
      <c r="D14" s="146">
        <v>13490128</v>
      </c>
      <c r="E14" s="146">
        <v>17786768</v>
      </c>
      <c r="F14" s="146">
        <f t="shared" si="0"/>
        <v>1753716.6400000001</v>
      </c>
      <c r="G14" s="146">
        <v>2307700</v>
      </c>
      <c r="H14" s="146">
        <f>1275500+600000</f>
        <v>1875500</v>
      </c>
      <c r="I14" s="146">
        <v>1868221</v>
      </c>
      <c r="J14" s="146"/>
      <c r="K14" s="146"/>
      <c r="L14" s="146"/>
      <c r="M14" s="146"/>
      <c r="N14" s="146">
        <v>90000</v>
      </c>
      <c r="O14" s="146">
        <v>8000</v>
      </c>
      <c r="P14" s="146"/>
      <c r="Q14" s="146"/>
      <c r="R14" s="146"/>
      <c r="S14" s="146"/>
      <c r="T14" s="146"/>
      <c r="U14" s="146"/>
      <c r="V14" s="46">
        <f t="shared" si="6"/>
        <v>17209344.640000001</v>
      </c>
      <c r="W14" s="68">
        <f t="shared" si="7"/>
        <v>21970689</v>
      </c>
      <c r="X14" s="61">
        <f t="shared" si="3"/>
        <v>4761344.3599999994</v>
      </c>
    </row>
    <row r="15" spans="1:24" x14ac:dyDescent="0.25">
      <c r="A15" s="54" t="s">
        <v>66</v>
      </c>
      <c r="B15" s="58" t="s">
        <v>205</v>
      </c>
      <c r="C15" s="45" t="s">
        <v>240</v>
      </c>
      <c r="D15" s="146">
        <v>4424148</v>
      </c>
      <c r="E15" s="146">
        <v>3707764</v>
      </c>
      <c r="F15" s="146">
        <f t="shared" si="0"/>
        <v>575139.24</v>
      </c>
      <c r="G15" s="146">
        <v>482009</v>
      </c>
      <c r="H15" s="146">
        <f>3240340+5000000</f>
        <v>8240340</v>
      </c>
      <c r="I15" s="146">
        <v>5211495</v>
      </c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46">
        <f t="shared" si="1"/>
        <v>13239627.24</v>
      </c>
      <c r="W15" s="68">
        <f t="shared" si="2"/>
        <v>9401268</v>
      </c>
      <c r="X15" s="61">
        <f t="shared" si="3"/>
        <v>-3838359.24</v>
      </c>
    </row>
    <row r="16" spans="1:24" x14ac:dyDescent="0.25">
      <c r="A16" s="54" t="s">
        <v>68</v>
      </c>
      <c r="B16" s="58" t="s">
        <v>205</v>
      </c>
      <c r="C16" s="45" t="s">
        <v>241</v>
      </c>
      <c r="D16" s="146">
        <v>16984224</v>
      </c>
      <c r="E16" s="146">
        <v>17638032</v>
      </c>
      <c r="F16" s="146">
        <f t="shared" si="0"/>
        <v>2207949.12</v>
      </c>
      <c r="G16" s="146">
        <v>2295909</v>
      </c>
      <c r="H16" s="146">
        <f>197000+25000</f>
        <v>222000</v>
      </c>
      <c r="I16" s="146">
        <v>257857</v>
      </c>
      <c r="J16" s="146"/>
      <c r="K16" s="146"/>
      <c r="L16" s="146"/>
      <c r="M16" s="146"/>
      <c r="N16" s="146">
        <v>320000</v>
      </c>
      <c r="O16" s="146"/>
      <c r="P16" s="146"/>
      <c r="Q16" s="146"/>
      <c r="R16" s="146"/>
      <c r="S16" s="146"/>
      <c r="T16" s="146"/>
      <c r="U16" s="146"/>
      <c r="V16" s="46">
        <f t="shared" si="1"/>
        <v>19734173.120000001</v>
      </c>
      <c r="W16" s="68">
        <f>E16+G16+I16+K16+M16+O16+Q16+S16+U16</f>
        <v>20191798</v>
      </c>
      <c r="X16" s="61">
        <f t="shared" si="3"/>
        <v>457624.87999999896</v>
      </c>
    </row>
    <row r="17" spans="1:24" x14ac:dyDescent="0.25">
      <c r="A17" s="54" t="s">
        <v>70</v>
      </c>
      <c r="B17" s="58"/>
      <c r="C17" s="110" t="s">
        <v>227</v>
      </c>
      <c r="D17" s="46">
        <f>SUM(D6:D16)</f>
        <v>148019793</v>
      </c>
      <c r="E17" s="46">
        <f t="shared" ref="E17:U17" si="8">SUM(E6:E16)</f>
        <v>166266570</v>
      </c>
      <c r="F17" s="46">
        <f t="shared" si="8"/>
        <v>19242573.09</v>
      </c>
      <c r="G17" s="46">
        <f>SUM(G6:G16)</f>
        <v>22319921</v>
      </c>
      <c r="H17" s="46">
        <f t="shared" si="8"/>
        <v>118239012</v>
      </c>
      <c r="I17" s="46">
        <f t="shared" si="8"/>
        <v>91246693</v>
      </c>
      <c r="J17" s="46">
        <f t="shared" si="8"/>
        <v>0</v>
      </c>
      <c r="K17" s="46">
        <f t="shared" si="8"/>
        <v>0</v>
      </c>
      <c r="L17" s="46">
        <f t="shared" si="8"/>
        <v>30000</v>
      </c>
      <c r="M17" s="46">
        <f t="shared" si="8"/>
        <v>0</v>
      </c>
      <c r="N17" s="46">
        <f t="shared" si="8"/>
        <v>2410000</v>
      </c>
      <c r="O17" s="46">
        <f t="shared" si="8"/>
        <v>552380</v>
      </c>
      <c r="P17" s="46">
        <f t="shared" si="8"/>
        <v>0</v>
      </c>
      <c r="Q17" s="46">
        <f t="shared" si="8"/>
        <v>0</v>
      </c>
      <c r="R17" s="46">
        <f t="shared" si="8"/>
        <v>0</v>
      </c>
      <c r="S17" s="46">
        <f t="shared" si="8"/>
        <v>0</v>
      </c>
      <c r="T17" s="46">
        <f t="shared" si="8"/>
        <v>0</v>
      </c>
      <c r="U17" s="46">
        <f t="shared" si="8"/>
        <v>0</v>
      </c>
      <c r="V17" s="46">
        <f>SUM(V6:V16)</f>
        <v>287941378.09000003</v>
      </c>
      <c r="W17" s="46">
        <f>SUM(W6:W16)</f>
        <v>280385564</v>
      </c>
      <c r="X17" s="61"/>
    </row>
    <row r="18" spans="1:24" x14ac:dyDescent="0.25">
      <c r="A18" s="54" t="s">
        <v>76</v>
      </c>
      <c r="B18" s="58"/>
      <c r="C18" s="58" t="s">
        <v>215</v>
      </c>
      <c r="D18" s="109">
        <f>SUMIF($B6:$B16,"kötelező",D6:D16)</f>
        <v>55273544</v>
      </c>
      <c r="E18" s="109">
        <f t="shared" ref="E18:W18" si="9">SUMIF($B6:$B16,"kötelező",E6:E16)</f>
        <v>60879358</v>
      </c>
      <c r="F18" s="109">
        <f t="shared" si="9"/>
        <v>7185560.7200000007</v>
      </c>
      <c r="G18" s="109">
        <f t="shared" si="9"/>
        <v>7943034</v>
      </c>
      <c r="H18" s="109">
        <f t="shared" si="9"/>
        <v>23993512</v>
      </c>
      <c r="I18" s="109">
        <f t="shared" si="9"/>
        <v>20607435</v>
      </c>
      <c r="J18" s="109">
        <f t="shared" si="9"/>
        <v>0</v>
      </c>
      <c r="K18" s="109">
        <f t="shared" si="9"/>
        <v>0</v>
      </c>
      <c r="L18" s="109">
        <f t="shared" si="9"/>
        <v>30000</v>
      </c>
      <c r="M18" s="109">
        <f t="shared" si="9"/>
        <v>0</v>
      </c>
      <c r="N18" s="109">
        <f t="shared" si="9"/>
        <v>410000</v>
      </c>
      <c r="O18" s="109">
        <f t="shared" si="9"/>
        <v>8000</v>
      </c>
      <c r="P18" s="109">
        <f t="shared" si="9"/>
        <v>0</v>
      </c>
      <c r="Q18" s="109">
        <f t="shared" si="9"/>
        <v>0</v>
      </c>
      <c r="R18" s="109">
        <f t="shared" si="9"/>
        <v>0</v>
      </c>
      <c r="S18" s="109">
        <f t="shared" si="9"/>
        <v>0</v>
      </c>
      <c r="T18" s="109">
        <f t="shared" si="9"/>
        <v>0</v>
      </c>
      <c r="U18" s="109">
        <f t="shared" si="9"/>
        <v>0</v>
      </c>
      <c r="V18" s="109">
        <f t="shared" si="9"/>
        <v>86892616.719999999</v>
      </c>
      <c r="W18" s="109">
        <f t="shared" si="9"/>
        <v>89437827</v>
      </c>
      <c r="X18" s="61"/>
    </row>
    <row r="19" spans="1:24" x14ac:dyDescent="0.25">
      <c r="A19" s="54" t="s">
        <v>78</v>
      </c>
      <c r="B19" s="58"/>
      <c r="C19" s="58" t="s">
        <v>216</v>
      </c>
      <c r="D19" s="109">
        <f t="shared" ref="D19:W19" si="10">SUMIF($B6:$B16,"nem kötelező",D6:D16)</f>
        <v>92746249</v>
      </c>
      <c r="E19" s="109">
        <f t="shared" si="10"/>
        <v>105387212</v>
      </c>
      <c r="F19" s="109">
        <f t="shared" si="10"/>
        <v>12057012.369999999</v>
      </c>
      <c r="G19" s="109">
        <f t="shared" si="10"/>
        <v>14376887</v>
      </c>
      <c r="H19" s="109">
        <f t="shared" si="10"/>
        <v>94245500</v>
      </c>
      <c r="I19" s="109">
        <f t="shared" si="10"/>
        <v>70639258</v>
      </c>
      <c r="J19" s="109">
        <f t="shared" si="10"/>
        <v>0</v>
      </c>
      <c r="K19" s="109">
        <f t="shared" si="10"/>
        <v>0</v>
      </c>
      <c r="L19" s="109">
        <f t="shared" si="10"/>
        <v>0</v>
      </c>
      <c r="M19" s="109">
        <f t="shared" si="10"/>
        <v>0</v>
      </c>
      <c r="N19" s="109">
        <f t="shared" si="10"/>
        <v>2000000</v>
      </c>
      <c r="O19" s="109">
        <f t="shared" si="10"/>
        <v>544380</v>
      </c>
      <c r="P19" s="109">
        <f t="shared" si="10"/>
        <v>0</v>
      </c>
      <c r="Q19" s="109">
        <f t="shared" si="10"/>
        <v>0</v>
      </c>
      <c r="R19" s="109">
        <f t="shared" si="10"/>
        <v>0</v>
      </c>
      <c r="S19" s="109">
        <f t="shared" si="10"/>
        <v>0</v>
      </c>
      <c r="T19" s="109">
        <f t="shared" si="10"/>
        <v>0</v>
      </c>
      <c r="U19" s="109">
        <f t="shared" si="10"/>
        <v>0</v>
      </c>
      <c r="V19" s="109">
        <f t="shared" si="10"/>
        <v>201048761.37</v>
      </c>
      <c r="W19" s="109">
        <f t="shared" si="10"/>
        <v>190947737</v>
      </c>
      <c r="X19" s="61"/>
    </row>
    <row r="20" spans="1:24" x14ac:dyDescent="0.25">
      <c r="A20" s="54" t="s">
        <v>154</v>
      </c>
      <c r="B20" s="58"/>
      <c r="C20" s="58" t="s">
        <v>259</v>
      </c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68">
        <v>31</v>
      </c>
      <c r="W20" s="68">
        <v>31</v>
      </c>
    </row>
    <row r="21" spans="1:24" x14ac:dyDescent="0.25">
      <c r="A21" s="54" t="s">
        <v>82</v>
      </c>
      <c r="B21" s="58"/>
      <c r="C21" s="58" t="s">
        <v>257</v>
      </c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>
        <v>0</v>
      </c>
      <c r="W21" s="109">
        <v>0</v>
      </c>
    </row>
    <row r="22" spans="1:24" x14ac:dyDescent="0.25">
      <c r="E22" s="61"/>
      <c r="G22" s="61"/>
    </row>
    <row r="23" spans="1:24" x14ac:dyDescent="0.25">
      <c r="E23" s="61"/>
      <c r="G23" s="61"/>
    </row>
  </sheetData>
  <mergeCells count="22">
    <mergeCell ref="V3:W3"/>
    <mergeCell ref="L3:M3"/>
    <mergeCell ref="N3:O3"/>
    <mergeCell ref="P3:Q3"/>
    <mergeCell ref="R3:S3"/>
    <mergeCell ref="T3:U3"/>
    <mergeCell ref="P1:V1"/>
    <mergeCell ref="C2:W2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Z13"/>
  <sheetViews>
    <sheetView topLeftCell="D1" zoomScaleNormal="100" zoomScaleSheetLayoutView="100" workbookViewId="0">
      <selection activeCell="P1" sqref="P1:V1"/>
    </sheetView>
  </sheetViews>
  <sheetFormatPr defaultRowHeight="15" x14ac:dyDescent="0.25"/>
  <cols>
    <col min="1" max="1" width="5.85546875" style="47" customWidth="1"/>
    <col min="2" max="2" width="10.7109375" style="107" customWidth="1"/>
    <col min="3" max="3" width="29.42578125" style="47" bestFit="1" customWidth="1"/>
    <col min="4" max="13" width="12.7109375" style="47" customWidth="1"/>
    <col min="14" max="15" width="14.42578125" style="47" customWidth="1"/>
    <col min="16" max="22" width="12.7109375" style="47" customWidth="1"/>
    <col min="23" max="23" width="0" style="47" hidden="1" customWidth="1"/>
    <col min="24" max="24" width="11.28515625" style="47" hidden="1" customWidth="1"/>
    <col min="25" max="25" width="12.42578125" style="47" bestFit="1" customWidth="1"/>
    <col min="26" max="16384" width="9.140625" style="47"/>
  </cols>
  <sheetData>
    <row r="1" spans="1:26" x14ac:dyDescent="0.25">
      <c r="P1" s="368" t="s">
        <v>618</v>
      </c>
      <c r="Q1" s="368"/>
      <c r="R1" s="368"/>
      <c r="S1" s="368"/>
      <c r="T1" s="368"/>
      <c r="U1" s="368"/>
      <c r="V1" s="368"/>
    </row>
    <row r="2" spans="1:26" ht="42" customHeight="1" x14ac:dyDescent="0.25">
      <c r="A2" s="177"/>
      <c r="C2" s="364" t="s">
        <v>543</v>
      </c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</row>
    <row r="3" spans="1:26" ht="42" customHeight="1" x14ac:dyDescent="0.25">
      <c r="A3" s="73" t="s">
        <v>147</v>
      </c>
      <c r="B3" s="73" t="s">
        <v>170</v>
      </c>
      <c r="C3" s="175" t="s">
        <v>148</v>
      </c>
      <c r="D3" s="370" t="s">
        <v>149</v>
      </c>
      <c r="E3" s="370"/>
      <c r="F3" s="370" t="s">
        <v>150</v>
      </c>
      <c r="G3" s="370"/>
      <c r="H3" s="370" t="s">
        <v>188</v>
      </c>
      <c r="I3" s="370"/>
      <c r="J3" s="370" t="s">
        <v>194</v>
      </c>
      <c r="K3" s="370"/>
      <c r="L3" s="370" t="s">
        <v>195</v>
      </c>
      <c r="M3" s="370"/>
      <c r="N3" s="370" t="s">
        <v>196</v>
      </c>
      <c r="O3" s="370"/>
      <c r="P3" s="370" t="s">
        <v>197</v>
      </c>
      <c r="Q3" s="370"/>
      <c r="R3" s="370" t="s">
        <v>244</v>
      </c>
      <c r="S3" s="370"/>
      <c r="T3" s="370" t="s">
        <v>229</v>
      </c>
      <c r="U3" s="370"/>
      <c r="V3" s="370" t="s">
        <v>354</v>
      </c>
      <c r="W3" s="370"/>
      <c r="X3" s="370"/>
      <c r="Y3" s="370"/>
    </row>
    <row r="4" spans="1:26" ht="56.25" customHeight="1" x14ac:dyDescent="0.25">
      <c r="A4" s="176" t="s">
        <v>374</v>
      </c>
      <c r="B4" s="175" t="s">
        <v>232</v>
      </c>
      <c r="C4" s="55" t="s">
        <v>199</v>
      </c>
      <c r="D4" s="369" t="s">
        <v>89</v>
      </c>
      <c r="E4" s="369"/>
      <c r="F4" s="369" t="s">
        <v>245</v>
      </c>
      <c r="G4" s="369"/>
      <c r="H4" s="369" t="s">
        <v>91</v>
      </c>
      <c r="I4" s="369"/>
      <c r="J4" s="369" t="s">
        <v>246</v>
      </c>
      <c r="K4" s="369"/>
      <c r="L4" s="369" t="s">
        <v>93</v>
      </c>
      <c r="M4" s="369"/>
      <c r="N4" s="369" t="s">
        <v>107</v>
      </c>
      <c r="O4" s="369"/>
      <c r="P4" s="369" t="s">
        <v>110</v>
      </c>
      <c r="Q4" s="369"/>
      <c r="R4" s="369" t="s">
        <v>249</v>
      </c>
      <c r="S4" s="369"/>
      <c r="T4" s="369" t="s">
        <v>255</v>
      </c>
      <c r="U4" s="369"/>
      <c r="V4" s="334" t="s">
        <v>219</v>
      </c>
      <c r="W4" s="334"/>
      <c r="X4" s="334"/>
      <c r="Y4" s="334"/>
    </row>
    <row r="5" spans="1:26" ht="57" x14ac:dyDescent="0.25">
      <c r="A5" s="54" t="s">
        <v>3</v>
      </c>
      <c r="B5" s="58"/>
      <c r="C5" s="55" t="s">
        <v>225</v>
      </c>
      <c r="D5" s="92" t="s">
        <v>539</v>
      </c>
      <c r="E5" s="56" t="s">
        <v>540</v>
      </c>
      <c r="F5" s="92" t="s">
        <v>539</v>
      </c>
      <c r="G5" s="56" t="s">
        <v>540</v>
      </c>
      <c r="H5" s="92" t="s">
        <v>539</v>
      </c>
      <c r="I5" s="56" t="s">
        <v>540</v>
      </c>
      <c r="J5" s="92" t="s">
        <v>539</v>
      </c>
      <c r="K5" s="56" t="s">
        <v>540</v>
      </c>
      <c r="L5" s="92" t="s">
        <v>539</v>
      </c>
      <c r="M5" s="56" t="s">
        <v>540</v>
      </c>
      <c r="N5" s="92" t="s">
        <v>539</v>
      </c>
      <c r="O5" s="56" t="s">
        <v>540</v>
      </c>
      <c r="P5" s="92" t="s">
        <v>539</v>
      </c>
      <c r="Q5" s="56" t="s">
        <v>540</v>
      </c>
      <c r="R5" s="92" t="s">
        <v>539</v>
      </c>
      <c r="S5" s="56" t="s">
        <v>540</v>
      </c>
      <c r="T5" s="92" t="s">
        <v>539</v>
      </c>
      <c r="U5" s="56" t="s">
        <v>540</v>
      </c>
      <c r="V5" s="92" t="s">
        <v>539</v>
      </c>
      <c r="W5" s="56" t="s">
        <v>490</v>
      </c>
      <c r="X5" s="92" t="s">
        <v>489</v>
      </c>
      <c r="Y5" s="56" t="s">
        <v>490</v>
      </c>
    </row>
    <row r="6" spans="1:26" s="87" customFormat="1" x14ac:dyDescent="0.25">
      <c r="A6" s="54" t="s">
        <v>5</v>
      </c>
      <c r="B6" s="178" t="s">
        <v>205</v>
      </c>
      <c r="C6" s="106" t="s">
        <v>242</v>
      </c>
      <c r="D6" s="140">
        <v>138178973</v>
      </c>
      <c r="E6" s="140">
        <v>163567138</v>
      </c>
      <c r="F6" s="140">
        <v>17843537</v>
      </c>
      <c r="G6" s="140">
        <v>20498235</v>
      </c>
      <c r="H6" s="140">
        <f>12165000+11100400+611500</f>
        <v>23876900</v>
      </c>
      <c r="I6" s="140">
        <v>10099183</v>
      </c>
      <c r="J6" s="140"/>
      <c r="K6" s="140"/>
      <c r="L6" s="140"/>
      <c r="M6" s="140"/>
      <c r="N6" s="140">
        <v>600000</v>
      </c>
      <c r="O6" s="140">
        <v>750900</v>
      </c>
      <c r="P6" s="140"/>
      <c r="Q6" s="140"/>
      <c r="R6" s="140"/>
      <c r="S6" s="140"/>
      <c r="T6" s="140"/>
      <c r="U6" s="140"/>
      <c r="V6" s="147">
        <f>D6+F6+H6+J6+L6+N6+P6+R6</f>
        <v>180499410</v>
      </c>
      <c r="W6" s="147">
        <f t="shared" ref="W6:X6" si="0">E6+G6+I6+K6+M6+O6+Q6+S6</f>
        <v>194915456</v>
      </c>
      <c r="X6" s="147">
        <f t="shared" si="0"/>
        <v>42320437</v>
      </c>
      <c r="Y6" s="147">
        <f>E6+G6+I6+K6+M6+O6+Q6+S6</f>
        <v>194915456</v>
      </c>
    </row>
    <row r="7" spans="1:26" s="87" customFormat="1" x14ac:dyDescent="0.25">
      <c r="A7" s="54" t="s">
        <v>15</v>
      </c>
      <c r="B7" s="178" t="s">
        <v>205</v>
      </c>
      <c r="C7" s="106" t="s">
        <v>300</v>
      </c>
      <c r="D7" s="140">
        <v>16980723</v>
      </c>
      <c r="E7" s="140">
        <v>24826572</v>
      </c>
      <c r="F7" s="140">
        <v>2194494</v>
      </c>
      <c r="G7" s="140">
        <v>3210613</v>
      </c>
      <c r="H7" s="140">
        <v>1852200</v>
      </c>
      <c r="I7" s="140">
        <v>3846356</v>
      </c>
      <c r="J7" s="140"/>
      <c r="K7" s="140"/>
      <c r="L7" s="140"/>
      <c r="M7" s="140"/>
      <c r="N7" s="140">
        <v>150000</v>
      </c>
      <c r="O7" s="140">
        <v>1494919</v>
      </c>
      <c r="P7" s="140"/>
      <c r="Q7" s="140">
        <v>3842323</v>
      </c>
      <c r="R7" s="140"/>
      <c r="S7" s="140"/>
      <c r="T7" s="140"/>
      <c r="U7" s="140"/>
      <c r="V7" s="147">
        <f>D7+F7+H7+J7+L7+N7+P7+R7</f>
        <v>21177417</v>
      </c>
      <c r="W7" s="147"/>
      <c r="X7" s="147"/>
      <c r="Y7" s="147">
        <f>E7+G7+I7+K7+M7+O7+Q7+S7</f>
        <v>37220783</v>
      </c>
    </row>
    <row r="8" spans="1:26" x14ac:dyDescent="0.25">
      <c r="A8" s="54" t="s">
        <v>20</v>
      </c>
      <c r="B8" s="60"/>
      <c r="C8" s="110" t="s">
        <v>227</v>
      </c>
      <c r="D8" s="46">
        <f>SUM(D6:D7)</f>
        <v>155159696</v>
      </c>
      <c r="E8" s="46">
        <f t="shared" ref="E8:U8" si="1">SUM(E6:E7)</f>
        <v>188393710</v>
      </c>
      <c r="F8" s="46">
        <f t="shared" si="1"/>
        <v>20038031</v>
      </c>
      <c r="G8" s="46">
        <f t="shared" si="1"/>
        <v>23708848</v>
      </c>
      <c r="H8" s="46">
        <f t="shared" si="1"/>
        <v>25729100</v>
      </c>
      <c r="I8" s="46">
        <f t="shared" si="1"/>
        <v>13945539</v>
      </c>
      <c r="J8" s="46">
        <f t="shared" si="1"/>
        <v>0</v>
      </c>
      <c r="K8" s="46">
        <f t="shared" si="1"/>
        <v>0</v>
      </c>
      <c r="L8" s="46">
        <f t="shared" si="1"/>
        <v>0</v>
      </c>
      <c r="M8" s="46">
        <f t="shared" si="1"/>
        <v>0</v>
      </c>
      <c r="N8" s="46">
        <f t="shared" si="1"/>
        <v>750000</v>
      </c>
      <c r="O8" s="46">
        <f>SUM(O6:O7)</f>
        <v>2245819</v>
      </c>
      <c r="P8" s="46">
        <f t="shared" si="1"/>
        <v>0</v>
      </c>
      <c r="Q8" s="46">
        <f t="shared" si="1"/>
        <v>3842323</v>
      </c>
      <c r="R8" s="46">
        <f t="shared" si="1"/>
        <v>0</v>
      </c>
      <c r="S8" s="46">
        <f t="shared" si="1"/>
        <v>0</v>
      </c>
      <c r="T8" s="46">
        <f t="shared" si="1"/>
        <v>0</v>
      </c>
      <c r="U8" s="46">
        <f t="shared" si="1"/>
        <v>0</v>
      </c>
      <c r="V8" s="46">
        <f>SUM(V6:V7)</f>
        <v>201676827</v>
      </c>
      <c r="W8" s="46">
        <f t="shared" ref="W8:X8" si="2">SUM(W6:W6)</f>
        <v>194915456</v>
      </c>
      <c r="X8" s="46">
        <f t="shared" si="2"/>
        <v>42320437</v>
      </c>
      <c r="Y8" s="46">
        <f>SUM(Y6:Y7)</f>
        <v>232136239</v>
      </c>
      <c r="Z8" s="61"/>
    </row>
    <row r="9" spans="1:26" x14ac:dyDescent="0.25">
      <c r="A9" s="54" t="s">
        <v>29</v>
      </c>
      <c r="B9" s="60"/>
      <c r="C9" s="60" t="s">
        <v>215</v>
      </c>
      <c r="D9" s="109">
        <f>SUMIF($B6:$B7,"kötelező",D6:D7)</f>
        <v>155159696</v>
      </c>
      <c r="E9" s="109">
        <f t="shared" ref="E9:Y9" si="3">SUMIF($B6:$B7,"kötelező",E6:E7)</f>
        <v>188393710</v>
      </c>
      <c r="F9" s="109">
        <f t="shared" si="3"/>
        <v>20038031</v>
      </c>
      <c r="G9" s="109">
        <f t="shared" si="3"/>
        <v>23708848</v>
      </c>
      <c r="H9" s="109">
        <f t="shared" si="3"/>
        <v>25729100</v>
      </c>
      <c r="I9" s="109">
        <f t="shared" si="3"/>
        <v>13945539</v>
      </c>
      <c r="J9" s="109">
        <f t="shared" si="3"/>
        <v>0</v>
      </c>
      <c r="K9" s="109">
        <f t="shared" si="3"/>
        <v>0</v>
      </c>
      <c r="L9" s="109">
        <f t="shared" si="3"/>
        <v>0</v>
      </c>
      <c r="M9" s="109">
        <f t="shared" si="3"/>
        <v>0</v>
      </c>
      <c r="N9" s="109">
        <f t="shared" si="3"/>
        <v>750000</v>
      </c>
      <c r="O9" s="109">
        <f t="shared" si="3"/>
        <v>2245819</v>
      </c>
      <c r="P9" s="109">
        <f t="shared" si="3"/>
        <v>0</v>
      </c>
      <c r="Q9" s="109">
        <f t="shared" si="3"/>
        <v>3842323</v>
      </c>
      <c r="R9" s="109">
        <f t="shared" si="3"/>
        <v>0</v>
      </c>
      <c r="S9" s="109">
        <f t="shared" si="3"/>
        <v>0</v>
      </c>
      <c r="T9" s="109">
        <f t="shared" si="3"/>
        <v>0</v>
      </c>
      <c r="U9" s="109">
        <f t="shared" si="3"/>
        <v>0</v>
      </c>
      <c r="V9" s="109">
        <f t="shared" si="3"/>
        <v>201676827</v>
      </c>
      <c r="W9" s="109">
        <f t="shared" si="3"/>
        <v>194915456</v>
      </c>
      <c r="X9" s="109">
        <f t="shared" si="3"/>
        <v>42320437</v>
      </c>
      <c r="Y9" s="109">
        <f t="shared" si="3"/>
        <v>232136239</v>
      </c>
    </row>
    <row r="10" spans="1:26" x14ac:dyDescent="0.25">
      <c r="A10" s="54" t="s">
        <v>51</v>
      </c>
      <c r="B10" s="60"/>
      <c r="C10" s="60" t="s">
        <v>216</v>
      </c>
      <c r="D10" s="109">
        <f>SUMIF($B6:$B7,"nem kötelező",D6:D7)</f>
        <v>0</v>
      </c>
      <c r="E10" s="109">
        <f t="shared" ref="E10:Y10" si="4">SUMIF($B6:$B7,"nem kötelező",E6:E7)</f>
        <v>0</v>
      </c>
      <c r="F10" s="109">
        <f t="shared" si="4"/>
        <v>0</v>
      </c>
      <c r="G10" s="109">
        <f t="shared" si="4"/>
        <v>0</v>
      </c>
      <c r="H10" s="109">
        <f t="shared" si="4"/>
        <v>0</v>
      </c>
      <c r="I10" s="109">
        <f t="shared" si="4"/>
        <v>0</v>
      </c>
      <c r="J10" s="109">
        <f t="shared" si="4"/>
        <v>0</v>
      </c>
      <c r="K10" s="109">
        <f t="shared" si="4"/>
        <v>0</v>
      </c>
      <c r="L10" s="109">
        <f t="shared" si="4"/>
        <v>0</v>
      </c>
      <c r="M10" s="109">
        <f t="shared" si="4"/>
        <v>0</v>
      </c>
      <c r="N10" s="109">
        <f t="shared" si="4"/>
        <v>0</v>
      </c>
      <c r="O10" s="109">
        <f t="shared" si="4"/>
        <v>0</v>
      </c>
      <c r="P10" s="109">
        <f t="shared" si="4"/>
        <v>0</v>
      </c>
      <c r="Q10" s="109">
        <f t="shared" si="4"/>
        <v>0</v>
      </c>
      <c r="R10" s="109">
        <f t="shared" si="4"/>
        <v>0</v>
      </c>
      <c r="S10" s="109">
        <f t="shared" si="4"/>
        <v>0</v>
      </c>
      <c r="T10" s="109">
        <f t="shared" si="4"/>
        <v>0</v>
      </c>
      <c r="U10" s="109">
        <f t="shared" si="4"/>
        <v>0</v>
      </c>
      <c r="V10" s="109">
        <f t="shared" si="4"/>
        <v>0</v>
      </c>
      <c r="W10" s="109">
        <f t="shared" si="4"/>
        <v>0</v>
      </c>
      <c r="X10" s="109">
        <f t="shared" si="4"/>
        <v>0</v>
      </c>
      <c r="Y10" s="109">
        <f t="shared" si="4"/>
        <v>0</v>
      </c>
    </row>
    <row r="11" spans="1:26" x14ac:dyDescent="0.25">
      <c r="A11" s="54" t="s">
        <v>53</v>
      </c>
      <c r="B11" s="60"/>
      <c r="C11" s="111" t="s">
        <v>260</v>
      </c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46">
        <v>23</v>
      </c>
      <c r="W11" s="46">
        <v>23</v>
      </c>
      <c r="X11" s="46">
        <v>23</v>
      </c>
      <c r="Y11" s="46">
        <v>23</v>
      </c>
    </row>
    <row r="12" spans="1:26" x14ac:dyDescent="0.25">
      <c r="A12" s="54" t="s">
        <v>55</v>
      </c>
      <c r="B12" s="60"/>
      <c r="C12" s="60" t="s">
        <v>257</v>
      </c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12">
        <v>0</v>
      </c>
      <c r="W12" s="112">
        <v>0</v>
      </c>
      <c r="X12" s="112">
        <v>0</v>
      </c>
      <c r="Y12" s="112">
        <v>0</v>
      </c>
    </row>
    <row r="13" spans="1:26" x14ac:dyDescent="0.25">
      <c r="E13" s="61"/>
      <c r="G13" s="61"/>
    </row>
  </sheetData>
  <mergeCells count="22">
    <mergeCell ref="V3:Y3"/>
    <mergeCell ref="L3:M3"/>
    <mergeCell ref="N3:O3"/>
    <mergeCell ref="P3:Q3"/>
    <mergeCell ref="R3:S3"/>
    <mergeCell ref="T3:U3"/>
    <mergeCell ref="P1:V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C2:Y2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Z15"/>
  <sheetViews>
    <sheetView zoomScaleNormal="100" zoomScaleSheetLayoutView="100" workbookViewId="0">
      <pane xSplit="3" topLeftCell="D1" activePane="topRight" state="frozen"/>
      <selection activeCell="C1" sqref="C1"/>
      <selection pane="topRight" activeCell="P1" sqref="P1:V1"/>
    </sheetView>
  </sheetViews>
  <sheetFormatPr defaultRowHeight="15" x14ac:dyDescent="0.25"/>
  <cols>
    <col min="1" max="1" width="6.7109375" style="42" customWidth="1"/>
    <col min="2" max="2" width="13.42578125" style="53" customWidth="1"/>
    <col min="3" max="3" width="29.28515625" style="42" customWidth="1"/>
    <col min="4" max="13" width="12.28515625" style="42" customWidth="1"/>
    <col min="14" max="15" width="14.28515625" style="42" customWidth="1"/>
    <col min="16" max="22" width="12.28515625" style="42" customWidth="1"/>
    <col min="23" max="23" width="11.85546875" style="49" hidden="1" customWidth="1"/>
    <col min="24" max="24" width="12" style="42" hidden="1" customWidth="1"/>
    <col min="25" max="25" width="11.28515625" style="42" bestFit="1" customWidth="1"/>
    <col min="26" max="26" width="13.140625" style="42" customWidth="1"/>
    <col min="27" max="16384" width="9.140625" style="42"/>
  </cols>
  <sheetData>
    <row r="1" spans="1:26" x14ac:dyDescent="0.25">
      <c r="P1" s="371" t="s">
        <v>619</v>
      </c>
      <c r="Q1" s="371"/>
      <c r="R1" s="371"/>
      <c r="S1" s="371"/>
      <c r="T1" s="371"/>
      <c r="U1" s="371"/>
      <c r="V1" s="371"/>
    </row>
    <row r="2" spans="1:26" ht="42.75" customHeight="1" x14ac:dyDescent="0.25">
      <c r="A2" s="182"/>
      <c r="B2" s="372" t="s">
        <v>549</v>
      </c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  <c r="X2" s="372"/>
      <c r="Y2" s="373"/>
    </row>
    <row r="3" spans="1:26" ht="42.75" customHeight="1" x14ac:dyDescent="0.25">
      <c r="A3" s="180" t="s">
        <v>147</v>
      </c>
      <c r="B3" s="181" t="s">
        <v>170</v>
      </c>
      <c r="C3" s="181" t="s">
        <v>148</v>
      </c>
      <c r="D3" s="376" t="s">
        <v>149</v>
      </c>
      <c r="E3" s="376"/>
      <c r="F3" s="376" t="s">
        <v>150</v>
      </c>
      <c r="G3" s="376"/>
      <c r="H3" s="376" t="s">
        <v>188</v>
      </c>
      <c r="I3" s="376"/>
      <c r="J3" s="376" t="s">
        <v>194</v>
      </c>
      <c r="K3" s="376"/>
      <c r="L3" s="376" t="s">
        <v>195</v>
      </c>
      <c r="M3" s="376"/>
      <c r="N3" s="376" t="s">
        <v>196</v>
      </c>
      <c r="O3" s="376"/>
      <c r="P3" s="376" t="s">
        <v>197</v>
      </c>
      <c r="Q3" s="376"/>
      <c r="R3" s="376" t="s">
        <v>244</v>
      </c>
      <c r="S3" s="376"/>
      <c r="T3" s="376" t="s">
        <v>229</v>
      </c>
      <c r="U3" s="376"/>
      <c r="V3" s="376" t="s">
        <v>354</v>
      </c>
      <c r="W3" s="376"/>
      <c r="X3" s="376"/>
      <c r="Y3" s="376"/>
    </row>
    <row r="4" spans="1:26" ht="93" customHeight="1" x14ac:dyDescent="0.25">
      <c r="A4" s="183" t="s">
        <v>374</v>
      </c>
      <c r="B4" s="181" t="s">
        <v>232</v>
      </c>
      <c r="C4" s="43" t="s">
        <v>199</v>
      </c>
      <c r="D4" s="374" t="s">
        <v>89</v>
      </c>
      <c r="E4" s="374"/>
      <c r="F4" s="374" t="s">
        <v>245</v>
      </c>
      <c r="G4" s="374"/>
      <c r="H4" s="374" t="s">
        <v>91</v>
      </c>
      <c r="I4" s="374"/>
      <c r="J4" s="374" t="s">
        <v>246</v>
      </c>
      <c r="K4" s="374"/>
      <c r="L4" s="374" t="s">
        <v>264</v>
      </c>
      <c r="M4" s="374"/>
      <c r="N4" s="374" t="s">
        <v>107</v>
      </c>
      <c r="O4" s="374"/>
      <c r="P4" s="374" t="s">
        <v>110</v>
      </c>
      <c r="Q4" s="374"/>
      <c r="R4" s="374" t="s">
        <v>249</v>
      </c>
      <c r="S4" s="374"/>
      <c r="T4" s="374" t="s">
        <v>255</v>
      </c>
      <c r="U4" s="374"/>
      <c r="V4" s="375" t="s">
        <v>219</v>
      </c>
      <c r="W4" s="375"/>
      <c r="X4" s="375"/>
      <c r="Y4" s="375"/>
    </row>
    <row r="5" spans="1:26" ht="28.5" x14ac:dyDescent="0.25">
      <c r="A5" s="179">
        <v>1</v>
      </c>
      <c r="B5" s="48"/>
      <c r="C5" s="43" t="s">
        <v>225</v>
      </c>
      <c r="D5" s="41" t="s">
        <v>539</v>
      </c>
      <c r="E5" s="56" t="s">
        <v>540</v>
      </c>
      <c r="F5" s="41" t="s">
        <v>539</v>
      </c>
      <c r="G5" s="56" t="s">
        <v>540</v>
      </c>
      <c r="H5" s="41" t="s">
        <v>539</v>
      </c>
      <c r="I5" s="56" t="s">
        <v>540</v>
      </c>
      <c r="J5" s="41" t="s">
        <v>539</v>
      </c>
      <c r="K5" s="56" t="s">
        <v>540</v>
      </c>
      <c r="L5" s="41" t="s">
        <v>539</v>
      </c>
      <c r="M5" s="56" t="s">
        <v>540</v>
      </c>
      <c r="N5" s="41" t="s">
        <v>539</v>
      </c>
      <c r="O5" s="56" t="s">
        <v>540</v>
      </c>
      <c r="P5" s="41" t="s">
        <v>539</v>
      </c>
      <c r="Q5" s="56" t="s">
        <v>540</v>
      </c>
      <c r="R5" s="41" t="s">
        <v>539</v>
      </c>
      <c r="S5" s="56" t="s">
        <v>540</v>
      </c>
      <c r="T5" s="41" t="s">
        <v>539</v>
      </c>
      <c r="U5" s="56" t="s">
        <v>540</v>
      </c>
      <c r="V5" s="41" t="s">
        <v>539</v>
      </c>
      <c r="W5" s="56" t="s">
        <v>490</v>
      </c>
      <c r="X5" s="41" t="s">
        <v>489</v>
      </c>
      <c r="Y5" s="56" t="s">
        <v>490</v>
      </c>
    </row>
    <row r="6" spans="1:26" x14ac:dyDescent="0.25">
      <c r="A6" s="179">
        <v>2</v>
      </c>
      <c r="B6" s="48" t="s">
        <v>205</v>
      </c>
      <c r="C6" s="50" t="s">
        <v>274</v>
      </c>
      <c r="D6" s="187">
        <v>23242400</v>
      </c>
      <c r="E6" s="187">
        <v>22971318</v>
      </c>
      <c r="F6" s="187">
        <v>3021512</v>
      </c>
      <c r="G6" s="187">
        <v>3143701</v>
      </c>
      <c r="H6" s="146">
        <f>10009500+1400000</f>
        <v>11409500</v>
      </c>
      <c r="I6" s="146">
        <v>12507001</v>
      </c>
      <c r="J6" s="187"/>
      <c r="K6" s="187"/>
      <c r="L6" s="187"/>
      <c r="M6" s="187"/>
      <c r="N6" s="187">
        <v>150000</v>
      </c>
      <c r="O6" s="187">
        <v>1204506</v>
      </c>
      <c r="P6" s="187"/>
      <c r="Q6" s="187"/>
      <c r="R6" s="187"/>
      <c r="S6" s="187"/>
      <c r="T6" s="187"/>
      <c r="U6" s="187"/>
      <c r="V6" s="188">
        <f t="shared" ref="V6:V9" si="0">T6+R6+P6+N6+L6+J6+H6+F6+D6</f>
        <v>37823412</v>
      </c>
      <c r="W6" s="51">
        <v>173</v>
      </c>
      <c r="X6" s="51">
        <v>211</v>
      </c>
      <c r="Y6" s="52">
        <f t="shared" ref="Y6:Y9" si="1">E6+G6+I6+K6+M6+O6+Q6+S6+U6</f>
        <v>39826526</v>
      </c>
    </row>
    <row r="7" spans="1:26" x14ac:dyDescent="0.25">
      <c r="A7" s="179">
        <v>3</v>
      </c>
      <c r="B7" s="48" t="s">
        <v>207</v>
      </c>
      <c r="C7" s="50" t="s">
        <v>438</v>
      </c>
      <c r="D7" s="187"/>
      <c r="E7" s="187"/>
      <c r="F7" s="187"/>
      <c r="G7" s="187"/>
      <c r="H7" s="146">
        <v>92000</v>
      </c>
      <c r="I7" s="146">
        <v>444802</v>
      </c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8">
        <f t="shared" si="0"/>
        <v>92000</v>
      </c>
      <c r="W7" s="52" t="e">
        <f t="shared" ref="W7" si="2">C7+E7+G7+I7+K7+M7+O7+Q7+S7</f>
        <v>#VALUE!</v>
      </c>
      <c r="X7" s="52">
        <f t="shared" ref="X7" si="3">D7+F7+H7+J7+L7+N7+P7+R7+T7</f>
        <v>92000</v>
      </c>
      <c r="Y7" s="52">
        <f t="shared" si="1"/>
        <v>444802</v>
      </c>
    </row>
    <row r="8" spans="1:26" x14ac:dyDescent="0.25">
      <c r="A8" s="179">
        <v>4</v>
      </c>
      <c r="B8" s="48" t="s">
        <v>207</v>
      </c>
      <c r="C8" s="50" t="s">
        <v>493</v>
      </c>
      <c r="D8" s="187"/>
      <c r="E8" s="187">
        <v>194345</v>
      </c>
      <c r="F8" s="187"/>
      <c r="G8" s="146"/>
      <c r="H8" s="146">
        <v>9000000</v>
      </c>
      <c r="I8" s="146">
        <v>4193646</v>
      </c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8">
        <f t="shared" si="0"/>
        <v>9000000</v>
      </c>
      <c r="W8" s="51">
        <v>6614</v>
      </c>
      <c r="X8" s="51">
        <v>6801</v>
      </c>
      <c r="Y8" s="52">
        <f t="shared" si="1"/>
        <v>4387991</v>
      </c>
    </row>
    <row r="9" spans="1:26" x14ac:dyDescent="0.25">
      <c r="A9" s="179">
        <v>5</v>
      </c>
      <c r="B9" s="48" t="s">
        <v>207</v>
      </c>
      <c r="C9" s="50" t="s">
        <v>576</v>
      </c>
      <c r="D9" s="187"/>
      <c r="E9" s="187"/>
      <c r="F9" s="187"/>
      <c r="G9" s="146"/>
      <c r="H9" s="146"/>
      <c r="I9" s="146">
        <v>111478</v>
      </c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8">
        <f t="shared" si="0"/>
        <v>0</v>
      </c>
      <c r="W9" s="51"/>
      <c r="X9" s="51"/>
      <c r="Y9" s="52">
        <f t="shared" si="1"/>
        <v>111478</v>
      </c>
    </row>
    <row r="10" spans="1:26" x14ac:dyDescent="0.25">
      <c r="A10" s="179">
        <v>6</v>
      </c>
      <c r="B10" s="48"/>
      <c r="C10" s="151" t="s">
        <v>227</v>
      </c>
      <c r="D10" s="188">
        <f t="shared" ref="D10:X10" si="4">SUM(D6:D8)</f>
        <v>23242400</v>
      </c>
      <c r="E10" s="188">
        <f t="shared" si="4"/>
        <v>23165663</v>
      </c>
      <c r="F10" s="188">
        <f t="shared" si="4"/>
        <v>3021512</v>
      </c>
      <c r="G10" s="188">
        <f t="shared" si="4"/>
        <v>3143701</v>
      </c>
      <c r="H10" s="188">
        <f t="shared" si="4"/>
        <v>20501500</v>
      </c>
      <c r="I10" s="188">
        <f>SUM(I6:I9)</f>
        <v>17256927</v>
      </c>
      <c r="J10" s="188">
        <f t="shared" si="4"/>
        <v>0</v>
      </c>
      <c r="K10" s="188">
        <f t="shared" si="4"/>
        <v>0</v>
      </c>
      <c r="L10" s="188">
        <f t="shared" si="4"/>
        <v>0</v>
      </c>
      <c r="M10" s="188">
        <f t="shared" si="4"/>
        <v>0</v>
      </c>
      <c r="N10" s="188">
        <f t="shared" si="4"/>
        <v>150000</v>
      </c>
      <c r="O10" s="188">
        <f t="shared" si="4"/>
        <v>1204506</v>
      </c>
      <c r="P10" s="188">
        <f t="shared" si="4"/>
        <v>0</v>
      </c>
      <c r="Q10" s="188">
        <f t="shared" si="4"/>
        <v>0</v>
      </c>
      <c r="R10" s="188">
        <f t="shared" si="4"/>
        <v>0</v>
      </c>
      <c r="S10" s="188">
        <f t="shared" si="4"/>
        <v>0</v>
      </c>
      <c r="T10" s="188">
        <f t="shared" si="4"/>
        <v>0</v>
      </c>
      <c r="U10" s="188">
        <f t="shared" si="4"/>
        <v>0</v>
      </c>
      <c r="V10" s="188">
        <f t="shared" si="4"/>
        <v>46915412</v>
      </c>
      <c r="W10" s="188" t="e">
        <f t="shared" si="4"/>
        <v>#VALUE!</v>
      </c>
      <c r="X10" s="188">
        <f t="shared" si="4"/>
        <v>99012</v>
      </c>
      <c r="Y10" s="52">
        <f>E10+G10+I10+K10+M10+O10+Q10+S10+U10</f>
        <v>44770797</v>
      </c>
      <c r="Z10" s="49"/>
    </row>
    <row r="11" spans="1:26" x14ac:dyDescent="0.25">
      <c r="A11" s="179">
        <v>7</v>
      </c>
      <c r="B11" s="48"/>
      <c r="C11" s="48" t="s">
        <v>215</v>
      </c>
      <c r="D11" s="51">
        <f>SUMIF(B6:B8,"kötelező",D6:D8)</f>
        <v>23242400</v>
      </c>
      <c r="E11" s="51">
        <f t="shared" ref="E11:X11" si="5">SUMIF($B6:$B8,"kötelező",E6:E8)</f>
        <v>22971318</v>
      </c>
      <c r="F11" s="51">
        <f t="shared" si="5"/>
        <v>3021512</v>
      </c>
      <c r="G11" s="51">
        <f t="shared" si="5"/>
        <v>3143701</v>
      </c>
      <c r="H11" s="51">
        <f t="shared" si="5"/>
        <v>11409500</v>
      </c>
      <c r="I11" s="51">
        <f>SUMIF($B6:$B9,"kötelező",I6:I9)</f>
        <v>12507001</v>
      </c>
      <c r="J11" s="51">
        <f t="shared" si="5"/>
        <v>0</v>
      </c>
      <c r="K11" s="51">
        <f t="shared" si="5"/>
        <v>0</v>
      </c>
      <c r="L11" s="51">
        <f t="shared" si="5"/>
        <v>0</v>
      </c>
      <c r="M11" s="51">
        <f t="shared" si="5"/>
        <v>0</v>
      </c>
      <c r="N11" s="51">
        <f t="shared" si="5"/>
        <v>150000</v>
      </c>
      <c r="O11" s="51">
        <f t="shared" si="5"/>
        <v>1204506</v>
      </c>
      <c r="P11" s="51">
        <f t="shared" si="5"/>
        <v>0</v>
      </c>
      <c r="Q11" s="51">
        <f t="shared" si="5"/>
        <v>0</v>
      </c>
      <c r="R11" s="51">
        <f t="shared" si="5"/>
        <v>0</v>
      </c>
      <c r="S11" s="51">
        <f t="shared" si="5"/>
        <v>0</v>
      </c>
      <c r="T11" s="51">
        <f t="shared" si="5"/>
        <v>0</v>
      </c>
      <c r="U11" s="51">
        <f t="shared" si="5"/>
        <v>0</v>
      </c>
      <c r="V11" s="51">
        <f t="shared" si="5"/>
        <v>37823412</v>
      </c>
      <c r="W11" s="51">
        <f t="shared" si="5"/>
        <v>173</v>
      </c>
      <c r="X11" s="51">
        <f t="shared" si="5"/>
        <v>211</v>
      </c>
      <c r="Y11" s="51">
        <f>SUMIF($B6:$B9,"kötelező",Y6:Y9)</f>
        <v>39826526</v>
      </c>
    </row>
    <row r="12" spans="1:26" x14ac:dyDescent="0.25">
      <c r="A12" s="179">
        <v>8</v>
      </c>
      <c r="B12" s="48"/>
      <c r="C12" s="48" t="s">
        <v>216</v>
      </c>
      <c r="D12" s="51">
        <f t="shared" ref="D12:X12" si="6">SUMIF($B6:$B8,"nem kötelező",D6:D8)</f>
        <v>0</v>
      </c>
      <c r="E12" s="51">
        <f t="shared" si="6"/>
        <v>194345</v>
      </c>
      <c r="F12" s="51">
        <f t="shared" si="6"/>
        <v>0</v>
      </c>
      <c r="G12" s="51">
        <f t="shared" si="6"/>
        <v>0</v>
      </c>
      <c r="H12" s="51">
        <f t="shared" si="6"/>
        <v>9092000</v>
      </c>
      <c r="I12" s="51">
        <f>SUMIF($B6:$B9,"nem kötelező",I6:I9)</f>
        <v>4749926</v>
      </c>
      <c r="J12" s="51">
        <f t="shared" si="6"/>
        <v>0</v>
      </c>
      <c r="K12" s="51">
        <f t="shared" si="6"/>
        <v>0</v>
      </c>
      <c r="L12" s="51">
        <f t="shared" si="6"/>
        <v>0</v>
      </c>
      <c r="M12" s="51">
        <f t="shared" si="6"/>
        <v>0</v>
      </c>
      <c r="N12" s="51">
        <f t="shared" si="6"/>
        <v>0</v>
      </c>
      <c r="O12" s="51">
        <f t="shared" si="6"/>
        <v>0</v>
      </c>
      <c r="P12" s="51">
        <f t="shared" si="6"/>
        <v>0</v>
      </c>
      <c r="Q12" s="51">
        <f t="shared" si="6"/>
        <v>0</v>
      </c>
      <c r="R12" s="51">
        <f t="shared" si="6"/>
        <v>0</v>
      </c>
      <c r="S12" s="51">
        <f t="shared" si="6"/>
        <v>0</v>
      </c>
      <c r="T12" s="51">
        <f t="shared" si="6"/>
        <v>0</v>
      </c>
      <c r="U12" s="51">
        <f t="shared" si="6"/>
        <v>0</v>
      </c>
      <c r="V12" s="51">
        <f t="shared" si="6"/>
        <v>9092000</v>
      </c>
      <c r="W12" s="51" t="e">
        <f t="shared" si="6"/>
        <v>#VALUE!</v>
      </c>
      <c r="X12" s="51">
        <f t="shared" si="6"/>
        <v>98801</v>
      </c>
      <c r="Y12" s="51">
        <f>SUMIF($B6:$B9,"nem kötelező",Y6:Y9)</f>
        <v>4944271</v>
      </c>
    </row>
    <row r="13" spans="1:26" x14ac:dyDescent="0.25">
      <c r="A13" s="179">
        <v>9</v>
      </c>
      <c r="B13" s="48"/>
      <c r="C13" s="48" t="s">
        <v>259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2">
        <v>5</v>
      </c>
      <c r="W13" s="51"/>
      <c r="X13" s="48"/>
      <c r="Y13" s="83">
        <v>5</v>
      </c>
    </row>
    <row r="14" spans="1:26" x14ac:dyDescent="0.25">
      <c r="E14" s="49"/>
      <c r="G14" s="49"/>
    </row>
    <row r="15" spans="1:26" x14ac:dyDescent="0.25">
      <c r="V15" s="49"/>
    </row>
  </sheetData>
  <mergeCells count="22">
    <mergeCell ref="V3:Y3"/>
    <mergeCell ref="L3:M3"/>
    <mergeCell ref="N3:O3"/>
    <mergeCell ref="P3:Q3"/>
    <mergeCell ref="R3:S3"/>
    <mergeCell ref="T3:U3"/>
    <mergeCell ref="P1:V1"/>
    <mergeCell ref="B2:Y2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F34"/>
  <sheetViews>
    <sheetView workbookViewId="0">
      <selection activeCell="B1" sqref="B1:E1"/>
    </sheetView>
  </sheetViews>
  <sheetFormatPr defaultRowHeight="15.75" x14ac:dyDescent="0.25"/>
  <cols>
    <col min="1" max="1" width="5.28515625" style="2" customWidth="1"/>
    <col min="2" max="2" width="57.5703125" style="2" customWidth="1"/>
    <col min="3" max="3" width="16" style="2" customWidth="1"/>
    <col min="4" max="4" width="14" style="2" customWidth="1"/>
    <col min="5" max="5" width="11.5703125" style="2" customWidth="1"/>
    <col min="6" max="6" width="10.140625" style="2" bestFit="1" customWidth="1"/>
    <col min="7" max="16384" width="9.140625" style="2"/>
  </cols>
  <sheetData>
    <row r="1" spans="1:6" x14ac:dyDescent="0.25">
      <c r="B1" s="318" t="s">
        <v>620</v>
      </c>
      <c r="C1" s="318"/>
      <c r="D1" s="318"/>
      <c r="E1" s="318"/>
    </row>
    <row r="3" spans="1:6" s="30" customFormat="1" ht="29.25" customHeight="1" x14ac:dyDescent="0.25">
      <c r="B3" s="377" t="s">
        <v>189</v>
      </c>
      <c r="C3" s="377"/>
      <c r="D3" s="377"/>
      <c r="E3" s="377"/>
    </row>
    <row r="4" spans="1:6" s="208" customFormat="1" ht="16.5" thickBot="1" x14ac:dyDescent="0.3">
      <c r="C4" s="378" t="s">
        <v>273</v>
      </c>
      <c r="D4" s="378"/>
      <c r="E4" s="378"/>
    </row>
    <row r="5" spans="1:6" s="259" customFormat="1" ht="61.5" customHeight="1" x14ac:dyDescent="0.25">
      <c r="A5" s="255" t="s">
        <v>374</v>
      </c>
      <c r="B5" s="256" t="s">
        <v>190</v>
      </c>
      <c r="C5" s="257" t="s">
        <v>550</v>
      </c>
      <c r="D5" s="257" t="s">
        <v>540</v>
      </c>
      <c r="E5" s="258"/>
    </row>
    <row r="6" spans="1:6" s="208" customFormat="1" x14ac:dyDescent="0.25">
      <c r="A6" s="248">
        <v>1</v>
      </c>
      <c r="B6" s="260" t="s">
        <v>470</v>
      </c>
      <c r="C6" s="250">
        <v>2540000</v>
      </c>
      <c r="D6" s="250">
        <v>1000000</v>
      </c>
      <c r="E6" s="261" t="s">
        <v>570</v>
      </c>
    </row>
    <row r="7" spans="1:6" s="208" customFormat="1" x14ac:dyDescent="0.25">
      <c r="A7" s="248">
        <v>2</v>
      </c>
      <c r="B7" s="260" t="s">
        <v>538</v>
      </c>
      <c r="C7" s="250">
        <v>5000000</v>
      </c>
      <c r="D7" s="250"/>
      <c r="E7" s="261" t="s">
        <v>570</v>
      </c>
    </row>
    <row r="8" spans="1:6" s="208" customFormat="1" x14ac:dyDescent="0.25">
      <c r="A8" s="248">
        <v>3</v>
      </c>
      <c r="B8" s="260" t="s">
        <v>530</v>
      </c>
      <c r="C8" s="250">
        <v>600000</v>
      </c>
      <c r="D8" s="250">
        <v>600000</v>
      </c>
      <c r="E8" s="261" t="s">
        <v>570</v>
      </c>
    </row>
    <row r="9" spans="1:6" s="208" customFormat="1" x14ac:dyDescent="0.25">
      <c r="A9" s="248">
        <v>4</v>
      </c>
      <c r="B9" s="260" t="s">
        <v>531</v>
      </c>
      <c r="C9" s="250">
        <v>130048</v>
      </c>
      <c r="D9" s="250">
        <v>130048</v>
      </c>
      <c r="E9" s="261" t="s">
        <v>570</v>
      </c>
    </row>
    <row r="10" spans="1:6" s="208" customFormat="1" x14ac:dyDescent="0.25">
      <c r="A10" s="248">
        <v>5</v>
      </c>
      <c r="B10" s="260" t="s">
        <v>590</v>
      </c>
      <c r="C10" s="250"/>
      <c r="D10" s="250">
        <v>239310</v>
      </c>
      <c r="E10" s="261" t="s">
        <v>570</v>
      </c>
    </row>
    <row r="11" spans="1:6" s="208" customFormat="1" x14ac:dyDescent="0.25">
      <c r="A11" s="248">
        <v>6</v>
      </c>
      <c r="B11" s="262" t="s">
        <v>571</v>
      </c>
      <c r="C11" s="263">
        <v>0</v>
      </c>
      <c r="D11" s="263">
        <v>1000000</v>
      </c>
      <c r="E11" s="264" t="s">
        <v>570</v>
      </c>
      <c r="F11" s="265"/>
    </row>
    <row r="12" spans="1:6" s="208" customFormat="1" x14ac:dyDescent="0.25">
      <c r="A12" s="248">
        <v>7</v>
      </c>
      <c r="B12" s="262" t="s">
        <v>574</v>
      </c>
      <c r="C12" s="263"/>
      <c r="D12" s="263">
        <v>406400</v>
      </c>
      <c r="E12" s="264" t="s">
        <v>570</v>
      </c>
      <c r="F12" s="265"/>
    </row>
    <row r="13" spans="1:6" s="208" customFormat="1" x14ac:dyDescent="0.25">
      <c r="A13" s="248">
        <v>8</v>
      </c>
      <c r="B13" s="262" t="s">
        <v>591</v>
      </c>
      <c r="C13" s="263"/>
      <c r="D13" s="263">
        <v>10470</v>
      </c>
      <c r="E13" s="264" t="s">
        <v>570</v>
      </c>
      <c r="F13" s="265"/>
    </row>
    <row r="14" spans="1:6" s="208" customFormat="1" x14ac:dyDescent="0.25">
      <c r="A14" s="248">
        <v>9</v>
      </c>
      <c r="B14" s="266" t="s">
        <v>473</v>
      </c>
      <c r="C14" s="250">
        <v>2400000</v>
      </c>
      <c r="D14" s="250"/>
      <c r="E14" s="261" t="s">
        <v>570</v>
      </c>
      <c r="F14" s="265"/>
    </row>
    <row r="15" spans="1:6" s="208" customFormat="1" x14ac:dyDescent="0.25">
      <c r="A15" s="248">
        <v>10</v>
      </c>
      <c r="B15" s="266" t="s">
        <v>597</v>
      </c>
      <c r="C15" s="250">
        <v>139154715</v>
      </c>
      <c r="D15" s="250">
        <v>5028067</v>
      </c>
      <c r="E15" s="261" t="s">
        <v>570</v>
      </c>
      <c r="F15" s="265"/>
    </row>
    <row r="16" spans="1:6" s="208" customFormat="1" x14ac:dyDescent="0.25">
      <c r="A16" s="248">
        <v>11</v>
      </c>
      <c r="B16" s="266" t="s">
        <v>595</v>
      </c>
      <c r="C16" s="250">
        <v>4961007</v>
      </c>
      <c r="D16" s="250">
        <v>3807013</v>
      </c>
      <c r="E16" s="261" t="s">
        <v>570</v>
      </c>
      <c r="F16" s="265"/>
    </row>
    <row r="17" spans="1:6" s="208" customFormat="1" x14ac:dyDescent="0.25">
      <c r="A17" s="248">
        <v>12</v>
      </c>
      <c r="B17" s="266" t="s">
        <v>596</v>
      </c>
      <c r="C17" s="250"/>
      <c r="D17" s="250">
        <v>2356112</v>
      </c>
      <c r="E17" s="261" t="s">
        <v>570</v>
      </c>
      <c r="F17" s="265"/>
    </row>
    <row r="18" spans="1:6" s="208" customFormat="1" x14ac:dyDescent="0.25">
      <c r="A18" s="248">
        <v>13</v>
      </c>
      <c r="B18" s="266" t="s">
        <v>475</v>
      </c>
      <c r="C18" s="250">
        <v>345389427</v>
      </c>
      <c r="D18" s="250"/>
      <c r="E18" s="261" t="s">
        <v>570</v>
      </c>
      <c r="F18" s="265"/>
    </row>
    <row r="19" spans="1:6" s="208" customFormat="1" x14ac:dyDescent="0.25">
      <c r="A19" s="248">
        <v>14</v>
      </c>
      <c r="B19" s="266" t="s">
        <v>579</v>
      </c>
      <c r="C19" s="250">
        <v>1000000</v>
      </c>
      <c r="D19" s="250">
        <v>223726</v>
      </c>
      <c r="E19" s="261" t="s">
        <v>566</v>
      </c>
    </row>
    <row r="20" spans="1:6" s="208" customFormat="1" x14ac:dyDescent="0.25">
      <c r="A20" s="248">
        <v>15</v>
      </c>
      <c r="B20" s="266" t="s">
        <v>532</v>
      </c>
      <c r="C20" s="250">
        <v>1000000</v>
      </c>
      <c r="D20" s="250">
        <v>689700</v>
      </c>
      <c r="E20" s="261" t="s">
        <v>566</v>
      </c>
    </row>
    <row r="21" spans="1:6" s="208" customFormat="1" x14ac:dyDescent="0.25">
      <c r="A21" s="248">
        <v>16</v>
      </c>
      <c r="B21" s="266" t="s">
        <v>533</v>
      </c>
      <c r="C21" s="250">
        <v>2000000</v>
      </c>
      <c r="D21" s="250"/>
      <c r="E21" s="261" t="s">
        <v>570</v>
      </c>
    </row>
    <row r="22" spans="1:6" s="208" customFormat="1" x14ac:dyDescent="0.25">
      <c r="A22" s="248">
        <v>17</v>
      </c>
      <c r="B22" s="266" t="s">
        <v>577</v>
      </c>
      <c r="C22" s="250">
        <v>150000</v>
      </c>
      <c r="D22" s="250">
        <v>341995</v>
      </c>
      <c r="E22" s="261" t="s">
        <v>567</v>
      </c>
    </row>
    <row r="23" spans="1:6" s="208" customFormat="1" x14ac:dyDescent="0.25">
      <c r="A23" s="248">
        <v>18</v>
      </c>
      <c r="B23" s="266" t="s">
        <v>578</v>
      </c>
      <c r="C23" s="250"/>
      <c r="D23" s="250">
        <v>862511</v>
      </c>
      <c r="E23" s="261" t="s">
        <v>567</v>
      </c>
    </row>
    <row r="24" spans="1:6" s="208" customFormat="1" x14ac:dyDescent="0.25">
      <c r="A24" s="248">
        <v>19</v>
      </c>
      <c r="B24" s="266" t="s">
        <v>494</v>
      </c>
      <c r="C24" s="250">
        <v>750000</v>
      </c>
      <c r="D24" s="250">
        <v>750900</v>
      </c>
      <c r="E24" s="261" t="s">
        <v>568</v>
      </c>
    </row>
    <row r="25" spans="1:6" s="208" customFormat="1" x14ac:dyDescent="0.25">
      <c r="A25" s="248">
        <v>20</v>
      </c>
      <c r="B25" s="266" t="s">
        <v>580</v>
      </c>
      <c r="C25" s="250"/>
      <c r="D25" s="250">
        <v>1322939</v>
      </c>
      <c r="E25" s="261" t="s">
        <v>582</v>
      </c>
    </row>
    <row r="26" spans="1:6" s="208" customFormat="1" x14ac:dyDescent="0.25">
      <c r="A26" s="248">
        <v>21</v>
      </c>
      <c r="B26" s="266" t="s">
        <v>581</v>
      </c>
      <c r="C26" s="250"/>
      <c r="D26" s="250">
        <v>171980</v>
      </c>
      <c r="E26" s="261" t="s">
        <v>582</v>
      </c>
    </row>
    <row r="27" spans="1:6" s="208" customFormat="1" x14ac:dyDescent="0.25">
      <c r="A27" s="248">
        <v>22</v>
      </c>
      <c r="B27" s="266" t="s">
        <v>496</v>
      </c>
      <c r="C27" s="250">
        <v>320000</v>
      </c>
      <c r="D27" s="250"/>
      <c r="E27" s="261" t="s">
        <v>569</v>
      </c>
      <c r="F27" s="265"/>
    </row>
    <row r="28" spans="1:6" s="208" customFormat="1" x14ac:dyDescent="0.25">
      <c r="A28" s="248">
        <v>23</v>
      </c>
      <c r="B28" s="266" t="s">
        <v>534</v>
      </c>
      <c r="C28" s="250">
        <v>2000000</v>
      </c>
      <c r="D28" s="250">
        <v>544380</v>
      </c>
      <c r="E28" s="261" t="s">
        <v>569</v>
      </c>
      <c r="F28" s="265"/>
    </row>
    <row r="29" spans="1:6" s="208" customFormat="1" x14ac:dyDescent="0.25">
      <c r="A29" s="248">
        <v>24</v>
      </c>
      <c r="B29" s="266" t="s">
        <v>497</v>
      </c>
      <c r="C29" s="250">
        <v>80000</v>
      </c>
      <c r="D29" s="250"/>
      <c r="E29" s="261" t="s">
        <v>569</v>
      </c>
      <c r="F29" s="265"/>
    </row>
    <row r="30" spans="1:6" s="208" customFormat="1" x14ac:dyDescent="0.25">
      <c r="A30" s="248">
        <v>25</v>
      </c>
      <c r="B30" s="266" t="s">
        <v>535</v>
      </c>
      <c r="C30" s="250">
        <v>10000</v>
      </c>
      <c r="D30" s="250">
        <v>8000</v>
      </c>
      <c r="E30" s="261" t="s">
        <v>569</v>
      </c>
      <c r="F30" s="265"/>
    </row>
    <row r="31" spans="1:6" s="208" customFormat="1" ht="16.5" thickBot="1" x14ac:dyDescent="0.3">
      <c r="A31" s="248"/>
      <c r="B31" s="267" t="s">
        <v>467</v>
      </c>
      <c r="C31" s="268">
        <f>SUM(C6:C30)</f>
        <v>507485197</v>
      </c>
      <c r="D31" s="268">
        <f>SUM(D6:D30)</f>
        <v>19493551</v>
      </c>
      <c r="E31" s="269"/>
    </row>
    <row r="32" spans="1:6" x14ac:dyDescent="0.25">
      <c r="A32" s="153"/>
    </row>
    <row r="33" spans="3:4" x14ac:dyDescent="0.25">
      <c r="C33" s="66"/>
    </row>
    <row r="34" spans="3:4" x14ac:dyDescent="0.25">
      <c r="C34" s="66"/>
      <c r="D34" s="66"/>
    </row>
  </sheetData>
  <mergeCells count="3">
    <mergeCell ref="B1:E1"/>
    <mergeCell ref="B3:E3"/>
    <mergeCell ref="C4:E4"/>
  </mergeCells>
  <pageMargins left="0.31496062992125984" right="0.11811023622047245" top="0.74803149606299213" bottom="0.35433070866141736" header="0.31496062992125984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H19"/>
  <sheetViews>
    <sheetView zoomScaleNormal="100" zoomScaleSheetLayoutView="100" workbookViewId="0">
      <selection activeCell="B1" sqref="B1"/>
    </sheetView>
  </sheetViews>
  <sheetFormatPr defaultRowHeight="15.75" x14ac:dyDescent="0.25"/>
  <cols>
    <col min="1" max="1" width="5.85546875" style="2" customWidth="1"/>
    <col min="2" max="2" width="88" style="2" customWidth="1"/>
    <col min="3" max="3" width="12.85546875" style="2" bestFit="1" customWidth="1"/>
    <col min="4" max="4" width="14.42578125" style="2" customWidth="1"/>
    <col min="5" max="5" width="12" style="2" customWidth="1"/>
    <col min="6" max="7" width="12.5703125" style="2" bestFit="1" customWidth="1"/>
    <col min="8" max="8" width="12.85546875" style="2" customWidth="1"/>
    <col min="9" max="16384" width="9.140625" style="2"/>
  </cols>
  <sheetData>
    <row r="1" spans="1:8" x14ac:dyDescent="0.25">
      <c r="B1" s="193" t="s">
        <v>621</v>
      </c>
      <c r="C1" s="193"/>
      <c r="D1" s="193"/>
      <c r="E1" s="193"/>
      <c r="F1" s="193"/>
      <c r="G1" s="193"/>
      <c r="H1" s="193"/>
    </row>
    <row r="3" spans="1:8" s="30" customFormat="1" ht="29.25" customHeight="1" x14ac:dyDescent="0.25">
      <c r="B3" s="30" t="s">
        <v>192</v>
      </c>
    </row>
    <row r="4" spans="1:8" ht="16.5" thickBot="1" x14ac:dyDescent="0.3">
      <c r="D4" s="193" t="s">
        <v>273</v>
      </c>
      <c r="G4" s="193"/>
      <c r="H4" s="193"/>
    </row>
    <row r="5" spans="1:8" s="30" customFormat="1" ht="31.5" x14ac:dyDescent="0.25">
      <c r="A5" s="184" t="s">
        <v>374</v>
      </c>
      <c r="B5" s="185" t="s">
        <v>193</v>
      </c>
      <c r="C5" s="186" t="s">
        <v>539</v>
      </c>
      <c r="D5" s="186" t="s">
        <v>540</v>
      </c>
    </row>
    <row r="6" spans="1:8" s="251" customFormat="1" x14ac:dyDescent="0.25">
      <c r="A6" s="248">
        <v>1</v>
      </c>
      <c r="B6" s="249" t="s">
        <v>261</v>
      </c>
      <c r="C6" s="250"/>
      <c r="D6" s="250"/>
    </row>
    <row r="7" spans="1:8" s="208" customFormat="1" x14ac:dyDescent="0.25">
      <c r="A7" s="248">
        <v>2</v>
      </c>
      <c r="B7" s="204" t="s">
        <v>511</v>
      </c>
      <c r="C7" s="250">
        <v>2000000</v>
      </c>
      <c r="D7" s="250"/>
    </row>
    <row r="8" spans="1:8" s="208" customFormat="1" x14ac:dyDescent="0.25">
      <c r="A8" s="248">
        <v>3</v>
      </c>
      <c r="B8" s="204" t="s">
        <v>536</v>
      </c>
      <c r="C8" s="250">
        <v>11993143</v>
      </c>
      <c r="D8" s="250"/>
    </row>
    <row r="9" spans="1:8" s="208" customFormat="1" x14ac:dyDescent="0.25">
      <c r="A9" s="248">
        <v>4</v>
      </c>
      <c r="B9" s="204" t="s">
        <v>507</v>
      </c>
      <c r="C9" s="250">
        <v>48996600</v>
      </c>
      <c r="D9" s="250">
        <v>40980152</v>
      </c>
    </row>
    <row r="10" spans="1:8" s="208" customFormat="1" x14ac:dyDescent="0.25">
      <c r="A10" s="248">
        <v>5</v>
      </c>
      <c r="B10" s="204" t="s">
        <v>509</v>
      </c>
      <c r="C10" s="250">
        <v>74404149</v>
      </c>
      <c r="D10" s="250">
        <v>41986456</v>
      </c>
    </row>
    <row r="11" spans="1:8" s="208" customFormat="1" x14ac:dyDescent="0.25">
      <c r="A11" s="248">
        <v>6</v>
      </c>
      <c r="B11" s="204" t="s">
        <v>476</v>
      </c>
      <c r="C11" s="250">
        <f>99725880+7195986</f>
        <v>106921866</v>
      </c>
      <c r="D11" s="250">
        <v>67238921</v>
      </c>
    </row>
    <row r="12" spans="1:8" s="208" customFormat="1" x14ac:dyDescent="0.25">
      <c r="A12" s="248">
        <v>7</v>
      </c>
      <c r="B12" s="204" t="s">
        <v>573</v>
      </c>
      <c r="C12" s="250">
        <v>0</v>
      </c>
      <c r="D12" s="250">
        <v>1024330</v>
      </c>
    </row>
    <row r="13" spans="1:8" s="208" customFormat="1" x14ac:dyDescent="0.25">
      <c r="A13" s="248">
        <v>8</v>
      </c>
      <c r="B13" s="204" t="s">
        <v>572</v>
      </c>
      <c r="C13" s="250">
        <v>0</v>
      </c>
      <c r="D13" s="250">
        <v>2540000</v>
      </c>
    </row>
    <row r="14" spans="1:8" s="208" customFormat="1" x14ac:dyDescent="0.25">
      <c r="A14" s="248">
        <v>9</v>
      </c>
      <c r="B14" s="204" t="s">
        <v>592</v>
      </c>
      <c r="C14" s="250"/>
      <c r="D14" s="250">
        <v>669639</v>
      </c>
    </row>
    <row r="15" spans="1:8" s="208" customFormat="1" x14ac:dyDescent="0.25">
      <c r="A15" s="248">
        <v>10</v>
      </c>
      <c r="B15" s="204" t="s">
        <v>593</v>
      </c>
      <c r="C15" s="250"/>
      <c r="D15" s="250">
        <v>360000</v>
      </c>
    </row>
    <row r="16" spans="1:8" s="208" customFormat="1" x14ac:dyDescent="0.25">
      <c r="A16" s="248">
        <v>11</v>
      </c>
      <c r="B16" s="204" t="s">
        <v>594</v>
      </c>
      <c r="C16" s="250"/>
      <c r="D16" s="250">
        <v>3602497</v>
      </c>
    </row>
    <row r="17" spans="1:4" s="208" customFormat="1" x14ac:dyDescent="0.25">
      <c r="A17" s="248">
        <v>12</v>
      </c>
      <c r="B17" s="204" t="s">
        <v>583</v>
      </c>
      <c r="C17" s="250"/>
      <c r="D17" s="250">
        <v>2455000</v>
      </c>
    </row>
    <row r="18" spans="1:4" s="208" customFormat="1" x14ac:dyDescent="0.25">
      <c r="A18" s="248">
        <v>13</v>
      </c>
      <c r="B18" s="204" t="s">
        <v>584</v>
      </c>
      <c r="C18" s="250"/>
      <c r="D18" s="250">
        <v>1387323</v>
      </c>
    </row>
    <row r="19" spans="1:4" s="254" customFormat="1" x14ac:dyDescent="0.25">
      <c r="A19" s="248">
        <v>14</v>
      </c>
      <c r="B19" s="252" t="s">
        <v>191</v>
      </c>
      <c r="C19" s="253">
        <f>SUM(C7:C13)</f>
        <v>244315758</v>
      </c>
      <c r="D19" s="253">
        <f>SUM(D7:D18)</f>
        <v>162244318</v>
      </c>
    </row>
  </sheetData>
  <pageMargins left="0.7" right="0.7" top="0.75" bottom="0.75" header="0.3" footer="0.3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F14"/>
  <sheetViews>
    <sheetView workbookViewId="0">
      <selection sqref="A1:F1"/>
    </sheetView>
  </sheetViews>
  <sheetFormatPr defaultColWidth="9.28515625" defaultRowHeight="15.75" x14ac:dyDescent="0.25"/>
  <cols>
    <col min="1" max="1" width="6.5703125" style="13" customWidth="1"/>
    <col min="2" max="2" width="37.7109375" style="2" customWidth="1"/>
    <col min="3" max="6" width="18.7109375" style="2" customWidth="1"/>
    <col min="7" max="7" width="52.28515625" style="2" customWidth="1"/>
    <col min="8" max="16384" width="9.28515625" style="2"/>
  </cols>
  <sheetData>
    <row r="1" spans="1:6" x14ac:dyDescent="0.25">
      <c r="A1" s="318" t="s">
        <v>622</v>
      </c>
      <c r="B1" s="318"/>
      <c r="C1" s="318"/>
      <c r="D1" s="318"/>
      <c r="E1" s="318"/>
      <c r="F1" s="318"/>
    </row>
    <row r="3" spans="1:6" s="30" customFormat="1" x14ac:dyDescent="0.25">
      <c r="A3" s="379" t="s">
        <v>404</v>
      </c>
      <c r="B3" s="377"/>
      <c r="C3" s="377"/>
      <c r="D3" s="377"/>
      <c r="E3" s="377"/>
      <c r="F3" s="377"/>
    </row>
    <row r="5" spans="1:6" ht="16.5" thickBot="1" x14ac:dyDescent="0.3">
      <c r="F5" s="193" t="s">
        <v>405</v>
      </c>
    </row>
    <row r="6" spans="1:6" x14ac:dyDescent="0.25">
      <c r="A6" s="380" t="s">
        <v>4</v>
      </c>
      <c r="B6" s="382" t="s">
        <v>187</v>
      </c>
      <c r="C6" s="382" t="s">
        <v>406</v>
      </c>
      <c r="D6" s="382"/>
      <c r="E6" s="382"/>
      <c r="F6" s="384"/>
    </row>
    <row r="7" spans="1:6" s="30" customFormat="1" ht="32.25" thickBot="1" x14ac:dyDescent="0.3">
      <c r="A7" s="381"/>
      <c r="B7" s="383"/>
      <c r="C7" s="194">
        <v>2025</v>
      </c>
      <c r="D7" s="194">
        <v>2026</v>
      </c>
      <c r="E7" s="194">
        <v>2027</v>
      </c>
      <c r="F7" s="195" t="s">
        <v>407</v>
      </c>
    </row>
    <row r="8" spans="1:6" s="13" customFormat="1" ht="16.5" thickBot="1" x14ac:dyDescent="0.3">
      <c r="A8" s="33" t="s">
        <v>147</v>
      </c>
      <c r="B8" s="34" t="s">
        <v>170</v>
      </c>
      <c r="C8" s="34" t="s">
        <v>148</v>
      </c>
      <c r="D8" s="34" t="s">
        <v>149</v>
      </c>
      <c r="E8" s="34" t="s">
        <v>150</v>
      </c>
      <c r="F8" s="196" t="s">
        <v>188</v>
      </c>
    </row>
    <row r="9" spans="1:6" x14ac:dyDescent="0.25">
      <c r="A9" s="32" t="s">
        <v>3</v>
      </c>
      <c r="B9" s="8" t="s">
        <v>408</v>
      </c>
      <c r="C9" s="63">
        <v>5423244</v>
      </c>
      <c r="D9" s="63"/>
      <c r="E9" s="63"/>
      <c r="F9" s="63">
        <f>SUM(C9:E9)</f>
        <v>5423244</v>
      </c>
    </row>
    <row r="10" spans="1:6" x14ac:dyDescent="0.25">
      <c r="A10" s="31" t="s">
        <v>5</v>
      </c>
      <c r="B10" s="8" t="s">
        <v>408</v>
      </c>
      <c r="C10" s="121">
        <f>11580000+19068000</f>
        <v>30648000</v>
      </c>
      <c r="D10" s="121">
        <f>11580000+16791000</f>
        <v>28371000</v>
      </c>
      <c r="E10" s="121">
        <f>11580000+14555000</f>
        <v>26135000</v>
      </c>
      <c r="F10" s="63">
        <f>SUM(C10:E10)</f>
        <v>85154000</v>
      </c>
    </row>
    <row r="11" spans="1:6" x14ac:dyDescent="0.25">
      <c r="A11" s="31" t="s">
        <v>15</v>
      </c>
      <c r="B11" s="4"/>
      <c r="C11" s="121"/>
      <c r="D11" s="121"/>
      <c r="E11" s="121"/>
      <c r="F11" s="121"/>
    </row>
    <row r="12" spans="1:6" x14ac:dyDescent="0.25">
      <c r="A12" s="31" t="s">
        <v>20</v>
      </c>
      <c r="B12" s="4"/>
      <c r="C12" s="121"/>
      <c r="D12" s="121"/>
      <c r="E12" s="121"/>
      <c r="F12" s="121"/>
    </row>
    <row r="13" spans="1:6" ht="16.5" thickBot="1" x14ac:dyDescent="0.3">
      <c r="A13" s="35" t="s">
        <v>29</v>
      </c>
      <c r="B13" s="10"/>
      <c r="C13" s="10"/>
      <c r="D13" s="10"/>
      <c r="E13" s="10"/>
      <c r="F13" s="10"/>
    </row>
    <row r="14" spans="1:6" ht="16.5" thickBot="1" x14ac:dyDescent="0.3">
      <c r="A14" s="33" t="s">
        <v>51</v>
      </c>
      <c r="B14" s="9" t="s">
        <v>409</v>
      </c>
      <c r="C14" s="115">
        <f>SUM(C9:C13)</f>
        <v>36071244</v>
      </c>
      <c r="D14" s="115">
        <f>SUM(D9:D13)</f>
        <v>28371000</v>
      </c>
      <c r="E14" s="115">
        <f>SUM(E9:E13)</f>
        <v>26135000</v>
      </c>
      <c r="F14" s="117">
        <f>SUM(C14:E14)</f>
        <v>90577244</v>
      </c>
    </row>
  </sheetData>
  <mergeCells count="5">
    <mergeCell ref="A1:F1"/>
    <mergeCell ref="A3:F3"/>
    <mergeCell ref="A6:A7"/>
    <mergeCell ref="B6:B7"/>
    <mergeCell ref="C6:F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E14"/>
  <sheetViews>
    <sheetView workbookViewId="0">
      <selection sqref="A1:C1"/>
    </sheetView>
  </sheetViews>
  <sheetFormatPr defaultColWidth="9.28515625" defaultRowHeight="15.75" x14ac:dyDescent="0.25"/>
  <cols>
    <col min="1" max="1" width="5.28515625" style="13" bestFit="1" customWidth="1"/>
    <col min="2" max="2" width="60.28515625" style="2" customWidth="1"/>
    <col min="3" max="3" width="13.7109375" style="2" customWidth="1"/>
    <col min="4" max="4" width="13.140625" style="2" customWidth="1"/>
    <col min="5" max="16384" width="9.28515625" style="2"/>
  </cols>
  <sheetData>
    <row r="1" spans="1:5" x14ac:dyDescent="0.25">
      <c r="A1" s="318" t="s">
        <v>623</v>
      </c>
      <c r="B1" s="318"/>
      <c r="C1" s="318"/>
    </row>
    <row r="3" spans="1:5" s="1" customFormat="1" ht="15.75" customHeight="1" x14ac:dyDescent="0.25">
      <c r="A3" s="385" t="s">
        <v>410</v>
      </c>
      <c r="B3" s="386"/>
      <c r="C3" s="386"/>
    </row>
    <row r="5" spans="1:5" ht="16.5" thickBot="1" x14ac:dyDescent="0.3">
      <c r="C5" s="2" t="s">
        <v>411</v>
      </c>
    </row>
    <row r="6" spans="1:5" s="1" customFormat="1" ht="33.75" customHeight="1" thickBot="1" x14ac:dyDescent="0.3">
      <c r="A6" s="39" t="s">
        <v>4</v>
      </c>
      <c r="B6" s="6" t="s">
        <v>2</v>
      </c>
      <c r="C6" s="197" t="s">
        <v>539</v>
      </c>
      <c r="D6" s="197" t="s">
        <v>540</v>
      </c>
    </row>
    <row r="7" spans="1:5" s="1" customFormat="1" ht="16.5" thickBot="1" x14ac:dyDescent="0.3">
      <c r="A7" s="198" t="s">
        <v>147</v>
      </c>
      <c r="B7" s="34" t="s">
        <v>170</v>
      </c>
      <c r="C7" s="199" t="s">
        <v>148</v>
      </c>
      <c r="D7" s="199" t="s">
        <v>148</v>
      </c>
    </row>
    <row r="8" spans="1:5" x14ac:dyDescent="0.25">
      <c r="A8" s="32" t="s">
        <v>3</v>
      </c>
      <c r="B8" s="8" t="s">
        <v>412</v>
      </c>
      <c r="C8" s="63">
        <f>170000000+180000+1930000+88000+25000000</f>
        <v>197198000</v>
      </c>
      <c r="D8" s="63">
        <v>177130466</v>
      </c>
    </row>
    <row r="9" spans="1:5" ht="31.5" x14ac:dyDescent="0.25">
      <c r="A9" s="31" t="s">
        <v>5</v>
      </c>
      <c r="B9" s="23" t="s">
        <v>413</v>
      </c>
      <c r="C9" s="121">
        <v>40000000</v>
      </c>
      <c r="D9" s="121">
        <v>37410036</v>
      </c>
    </row>
    <row r="10" spans="1:5" x14ac:dyDescent="0.25">
      <c r="A10" s="31" t="s">
        <v>15</v>
      </c>
      <c r="B10" s="4" t="s">
        <v>414</v>
      </c>
      <c r="C10" s="121"/>
      <c r="D10" s="121"/>
    </row>
    <row r="11" spans="1:5" ht="31.5" x14ac:dyDescent="0.25">
      <c r="A11" s="31" t="s">
        <v>20</v>
      </c>
      <c r="B11" s="23" t="s">
        <v>415</v>
      </c>
      <c r="C11" s="121"/>
      <c r="D11" s="121">
        <v>1614961</v>
      </c>
    </row>
    <row r="12" spans="1:5" x14ac:dyDescent="0.25">
      <c r="A12" s="31" t="s">
        <v>29</v>
      </c>
      <c r="B12" s="4" t="s">
        <v>416</v>
      </c>
      <c r="C12" s="121">
        <f>949000+88000</f>
        <v>1037000</v>
      </c>
      <c r="D12" s="121">
        <v>1446240</v>
      </c>
      <c r="E12" s="121"/>
    </row>
    <row r="13" spans="1:5" ht="16.5" thickBot="1" x14ac:dyDescent="0.3">
      <c r="A13" s="35" t="s">
        <v>51</v>
      </c>
      <c r="B13" s="200" t="s">
        <v>417</v>
      </c>
      <c r="C13" s="125"/>
      <c r="D13" s="125"/>
    </row>
    <row r="14" spans="1:5" s="1" customFormat="1" ht="16.5" thickBot="1" x14ac:dyDescent="0.3">
      <c r="A14" s="33" t="s">
        <v>53</v>
      </c>
      <c r="B14" s="9" t="s">
        <v>418</v>
      </c>
      <c r="C14" s="117">
        <f>SUM(C8:C12)</f>
        <v>238235000</v>
      </c>
      <c r="D14" s="117">
        <f t="shared" ref="D14" si="0">SUM(D8:D12)</f>
        <v>217601703</v>
      </c>
    </row>
  </sheetData>
  <mergeCells count="2">
    <mergeCell ref="A1:C1"/>
    <mergeCell ref="A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C14"/>
  <sheetViews>
    <sheetView workbookViewId="0">
      <selection sqref="A1:C1"/>
    </sheetView>
  </sheetViews>
  <sheetFormatPr defaultColWidth="9.28515625" defaultRowHeight="15.75" x14ac:dyDescent="0.25"/>
  <cols>
    <col min="1" max="1" width="9.28515625" style="2"/>
    <col min="2" max="2" width="59" style="2" customWidth="1"/>
    <col min="3" max="3" width="13.28515625" style="2" bestFit="1" customWidth="1"/>
    <col min="4" max="16384" width="9.28515625" style="2"/>
  </cols>
  <sheetData>
    <row r="1" spans="1:3" x14ac:dyDescent="0.25">
      <c r="A1" s="318" t="s">
        <v>624</v>
      </c>
      <c r="B1" s="318"/>
      <c r="C1" s="318"/>
    </row>
    <row r="3" spans="1:3" x14ac:dyDescent="0.25">
      <c r="A3" s="385" t="s">
        <v>551</v>
      </c>
      <c r="B3" s="386"/>
      <c r="C3" s="386"/>
    </row>
    <row r="5" spans="1:3" ht="16.5" thickBot="1" x14ac:dyDescent="0.3">
      <c r="A5" s="13"/>
      <c r="C5" s="2" t="s">
        <v>419</v>
      </c>
    </row>
    <row r="6" spans="1:3" ht="48" thickBot="1" x14ac:dyDescent="0.3">
      <c r="A6" s="39" t="s">
        <v>4</v>
      </c>
      <c r="B6" s="6" t="s">
        <v>420</v>
      </c>
      <c r="C6" s="197" t="s">
        <v>421</v>
      </c>
    </row>
    <row r="7" spans="1:3" ht="16.5" thickBot="1" x14ac:dyDescent="0.3">
      <c r="A7" s="198" t="s">
        <v>147</v>
      </c>
      <c r="B7" s="34" t="s">
        <v>170</v>
      </c>
      <c r="C7" s="199" t="s">
        <v>148</v>
      </c>
    </row>
    <row r="8" spans="1:3" x14ac:dyDescent="0.25">
      <c r="A8" s="32" t="s">
        <v>3</v>
      </c>
      <c r="B8" s="8"/>
      <c r="C8" s="8"/>
    </row>
    <row r="9" spans="1:3" x14ac:dyDescent="0.25">
      <c r="A9" s="31" t="s">
        <v>5</v>
      </c>
      <c r="B9" s="23"/>
      <c r="C9" s="4"/>
    </row>
    <row r="10" spans="1:3" x14ac:dyDescent="0.25">
      <c r="A10" s="31" t="s">
        <v>15</v>
      </c>
      <c r="B10" s="4"/>
      <c r="C10" s="4"/>
    </row>
    <row r="11" spans="1:3" x14ac:dyDescent="0.25">
      <c r="A11" s="31" t="s">
        <v>20</v>
      </c>
      <c r="B11" s="23"/>
      <c r="C11" s="4"/>
    </row>
    <row r="12" spans="1:3" x14ac:dyDescent="0.25">
      <c r="A12" s="31" t="s">
        <v>29</v>
      </c>
      <c r="B12" s="4"/>
      <c r="C12" s="4"/>
    </row>
    <row r="13" spans="1:3" ht="16.5" thickBot="1" x14ac:dyDescent="0.3">
      <c r="A13" s="35" t="s">
        <v>51</v>
      </c>
      <c r="B13" s="200"/>
      <c r="C13" s="10"/>
    </row>
    <row r="14" spans="1:3" ht="32.25" thickBot="1" x14ac:dyDescent="0.3">
      <c r="A14" s="33" t="s">
        <v>53</v>
      </c>
      <c r="B14" s="11" t="s">
        <v>422</v>
      </c>
      <c r="C14" s="201"/>
    </row>
  </sheetData>
  <mergeCells count="2">
    <mergeCell ref="A1:C1"/>
    <mergeCell ref="A3:C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N118"/>
  <sheetViews>
    <sheetView tabSelected="1" workbookViewId="0">
      <selection activeCell="M14" sqref="M14"/>
    </sheetView>
  </sheetViews>
  <sheetFormatPr defaultColWidth="9.28515625" defaultRowHeight="15.75" x14ac:dyDescent="0.25"/>
  <cols>
    <col min="1" max="1" width="42.28515625" style="2" customWidth="1"/>
    <col min="2" max="2" width="14.28515625" style="2" bestFit="1" customWidth="1"/>
    <col min="3" max="3" width="12.28515625" style="2" bestFit="1" customWidth="1"/>
    <col min="4" max="4" width="10.5703125" style="2" customWidth="1"/>
    <col min="5" max="5" width="14.28515625" style="2" bestFit="1" customWidth="1"/>
    <col min="6" max="6" width="11.28515625" style="2" bestFit="1" customWidth="1"/>
    <col min="7" max="16384" width="9.28515625" style="2"/>
  </cols>
  <sheetData>
    <row r="1" spans="1:5" x14ac:dyDescent="0.25">
      <c r="A1" s="318" t="s">
        <v>625</v>
      </c>
      <c r="B1" s="318"/>
      <c r="C1" s="318"/>
      <c r="D1" s="318"/>
      <c r="E1" s="318"/>
    </row>
    <row r="3" spans="1:5" s="30" customFormat="1" ht="51" customHeight="1" x14ac:dyDescent="0.25">
      <c r="A3" s="388" t="s">
        <v>423</v>
      </c>
      <c r="B3" s="319"/>
      <c r="C3" s="319"/>
      <c r="D3" s="319"/>
      <c r="E3" s="319"/>
    </row>
    <row r="5" spans="1:5" ht="16.5" thickBot="1" x14ac:dyDescent="0.3">
      <c r="A5" s="387" t="s">
        <v>483</v>
      </c>
      <c r="B5" s="387"/>
      <c r="C5" s="387"/>
      <c r="D5" s="387"/>
      <c r="E5" s="387"/>
    </row>
    <row r="6" spans="1:5" ht="16.5" thickBot="1" x14ac:dyDescent="0.3">
      <c r="A6" s="202" t="s">
        <v>424</v>
      </c>
      <c r="B6" s="6" t="s">
        <v>560</v>
      </c>
      <c r="C6" s="6">
        <v>2026</v>
      </c>
      <c r="D6" s="6" t="s">
        <v>561</v>
      </c>
      <c r="E6" s="203" t="s">
        <v>191</v>
      </c>
    </row>
    <row r="7" spans="1:5" x14ac:dyDescent="0.25">
      <c r="A7" s="8" t="s">
        <v>425</v>
      </c>
      <c r="B7" s="63"/>
      <c r="C7" s="63"/>
      <c r="D7" s="63"/>
      <c r="E7" s="63">
        <f>SUM(B7:D7)</f>
        <v>0</v>
      </c>
    </row>
    <row r="8" spans="1:5" x14ac:dyDescent="0.25">
      <c r="A8" s="4" t="s">
        <v>426</v>
      </c>
      <c r="B8" s="121"/>
      <c r="C8" s="121"/>
      <c r="D8" s="121"/>
      <c r="E8" s="63">
        <f t="shared" ref="E8:E14" si="0">SUM(B8:D8)</f>
        <v>0</v>
      </c>
    </row>
    <row r="9" spans="1:5" x14ac:dyDescent="0.25">
      <c r="A9" s="4" t="s">
        <v>427</v>
      </c>
      <c r="B9" s="121">
        <v>343055070</v>
      </c>
      <c r="C9" s="121"/>
      <c r="D9" s="121"/>
      <c r="E9" s="63">
        <f t="shared" si="0"/>
        <v>343055070</v>
      </c>
    </row>
    <row r="10" spans="1:5" x14ac:dyDescent="0.25">
      <c r="A10" s="4" t="s">
        <v>428</v>
      </c>
      <c r="B10" s="121"/>
      <c r="C10" s="121"/>
      <c r="D10" s="121"/>
      <c r="E10" s="63">
        <f t="shared" si="0"/>
        <v>0</v>
      </c>
    </row>
    <row r="11" spans="1:5" x14ac:dyDescent="0.25">
      <c r="A11" s="4" t="s">
        <v>429</v>
      </c>
      <c r="B11" s="121"/>
      <c r="C11" s="121"/>
      <c r="D11" s="121"/>
      <c r="E11" s="63">
        <f t="shared" si="0"/>
        <v>0</v>
      </c>
    </row>
    <row r="12" spans="1:5" x14ac:dyDescent="0.25">
      <c r="A12" s="4" t="s">
        <v>272</v>
      </c>
      <c r="B12" s="121">
        <v>6181953</v>
      </c>
      <c r="C12" s="121"/>
      <c r="D12" s="121"/>
      <c r="E12" s="63">
        <f t="shared" si="0"/>
        <v>6181953</v>
      </c>
    </row>
    <row r="13" spans="1:5" ht="16.5" thickBot="1" x14ac:dyDescent="0.3">
      <c r="A13" s="10"/>
      <c r="B13" s="125"/>
      <c r="C13" s="125"/>
      <c r="D13" s="125"/>
      <c r="E13" s="128">
        <f t="shared" si="0"/>
        <v>0</v>
      </c>
    </row>
    <row r="14" spans="1:5" ht="16.5" thickBot="1" x14ac:dyDescent="0.3">
      <c r="A14" s="37" t="s">
        <v>430</v>
      </c>
      <c r="B14" s="115">
        <f>SUM(B7:B13)</f>
        <v>349237023</v>
      </c>
      <c r="C14" s="115">
        <f>SUM(C7:C13)</f>
        <v>0</v>
      </c>
      <c r="D14" s="131"/>
      <c r="E14" s="118">
        <f t="shared" si="0"/>
        <v>349237023</v>
      </c>
    </row>
    <row r="15" spans="1:5" ht="16.5" thickBot="1" x14ac:dyDescent="0.3"/>
    <row r="16" spans="1:5" ht="16.5" thickBot="1" x14ac:dyDescent="0.3">
      <c r="A16" s="202" t="s">
        <v>431</v>
      </c>
      <c r="B16" s="6" t="s">
        <v>560</v>
      </c>
      <c r="C16" s="6">
        <v>2026</v>
      </c>
      <c r="D16" s="6" t="s">
        <v>561</v>
      </c>
      <c r="E16" s="203" t="s">
        <v>191</v>
      </c>
    </row>
    <row r="17" spans="1:14" x14ac:dyDescent="0.25">
      <c r="A17" s="8" t="s">
        <v>432</v>
      </c>
      <c r="B17" s="63"/>
      <c r="C17" s="63"/>
      <c r="D17" s="63"/>
      <c r="E17" s="63">
        <f>SUM(B17:D17)</f>
        <v>0</v>
      </c>
    </row>
    <row r="18" spans="1:14" x14ac:dyDescent="0.25">
      <c r="A18" s="4" t="s">
        <v>433</v>
      </c>
      <c r="B18" s="210">
        <v>345389427</v>
      </c>
      <c r="C18" s="121"/>
      <c r="D18" s="121"/>
      <c r="E18" s="121">
        <f>SUM(B18:D18)</f>
        <v>345389427</v>
      </c>
    </row>
    <row r="19" spans="1:14" x14ac:dyDescent="0.25">
      <c r="A19" s="4" t="s">
        <v>434</v>
      </c>
      <c r="B19" s="146">
        <v>3847596</v>
      </c>
      <c r="C19" s="121"/>
      <c r="D19" s="121"/>
      <c r="E19" s="121">
        <f>SUM(B19:D19)</f>
        <v>3847596</v>
      </c>
    </row>
    <row r="20" spans="1:14" x14ac:dyDescent="0.25">
      <c r="A20" s="4" t="s">
        <v>435</v>
      </c>
      <c r="B20" s="121"/>
      <c r="C20" s="121"/>
      <c r="D20" s="121"/>
      <c r="E20" s="121">
        <f>SUM(B20:D20)</f>
        <v>0</v>
      </c>
    </row>
    <row r="21" spans="1:14" ht="16.5" thickBot="1" x14ac:dyDescent="0.3">
      <c r="A21" s="10" t="s">
        <v>249</v>
      </c>
      <c r="B21" s="125"/>
      <c r="C21" s="125"/>
      <c r="D21" s="125"/>
      <c r="E21" s="121">
        <f>SUM(B21:D21)</f>
        <v>0</v>
      </c>
    </row>
    <row r="22" spans="1:14" ht="16.5" thickBot="1" x14ac:dyDescent="0.3">
      <c r="A22" s="37" t="s">
        <v>436</v>
      </c>
      <c r="B22" s="115">
        <f>SUM(B17:B21)</f>
        <v>349237023</v>
      </c>
      <c r="C22" s="115">
        <f t="shared" ref="C22" si="1">SUM(C17:C21)</f>
        <v>0</v>
      </c>
      <c r="D22" s="115">
        <f>SUM(D17:D21)</f>
        <v>0</v>
      </c>
      <c r="E22" s="115">
        <f>SUM(E17:E21)</f>
        <v>349237023</v>
      </c>
    </row>
    <row r="25" spans="1:14" ht="32.25" customHeight="1" thickBot="1" x14ac:dyDescent="0.3">
      <c r="A25" s="387" t="s">
        <v>484</v>
      </c>
      <c r="B25" s="387"/>
      <c r="C25" s="387"/>
      <c r="D25" s="387"/>
      <c r="E25" s="387"/>
    </row>
    <row r="26" spans="1:14" ht="16.5" thickBot="1" x14ac:dyDescent="0.3">
      <c r="A26" s="202" t="s">
        <v>424</v>
      </c>
      <c r="B26" s="6" t="s">
        <v>560</v>
      </c>
      <c r="C26" s="6">
        <v>2026</v>
      </c>
      <c r="D26" s="6" t="s">
        <v>561</v>
      </c>
      <c r="E26" s="203" t="s">
        <v>191</v>
      </c>
    </row>
    <row r="27" spans="1:14" x14ac:dyDescent="0.25">
      <c r="A27" s="8" t="s">
        <v>425</v>
      </c>
      <c r="B27" s="63">
        <v>7195986</v>
      </c>
      <c r="C27" s="63"/>
      <c r="D27" s="63"/>
      <c r="E27" s="63">
        <f>SUM(B27:D27)</f>
        <v>7195986</v>
      </c>
    </row>
    <row r="28" spans="1:14" x14ac:dyDescent="0.25">
      <c r="A28" s="4" t="s">
        <v>426</v>
      </c>
      <c r="B28" s="121"/>
      <c r="C28" s="121"/>
      <c r="D28" s="121"/>
      <c r="E28" s="63">
        <f t="shared" ref="E28:E34" si="2">SUM(B28:D28)</f>
        <v>0</v>
      </c>
      <c r="N28" s="2" t="s">
        <v>491</v>
      </c>
    </row>
    <row r="29" spans="1:14" x14ac:dyDescent="0.25">
      <c r="A29" s="4" t="s">
        <v>427</v>
      </c>
      <c r="B29" s="121">
        <v>90209838</v>
      </c>
      <c r="C29" s="121"/>
      <c r="D29" s="121"/>
      <c r="E29" s="63">
        <f t="shared" si="2"/>
        <v>90209838</v>
      </c>
    </row>
    <row r="30" spans="1:14" x14ac:dyDescent="0.25">
      <c r="A30" s="4" t="s">
        <v>428</v>
      </c>
      <c r="B30" s="121"/>
      <c r="C30" s="121"/>
      <c r="D30" s="121"/>
      <c r="E30" s="63">
        <f t="shared" si="2"/>
        <v>0</v>
      </c>
    </row>
    <row r="31" spans="1:14" x14ac:dyDescent="0.25">
      <c r="A31" s="4" t="s">
        <v>429</v>
      </c>
      <c r="B31" s="121"/>
      <c r="C31" s="121"/>
      <c r="D31" s="121"/>
      <c r="E31" s="63">
        <f t="shared" si="2"/>
        <v>0</v>
      </c>
    </row>
    <row r="32" spans="1:14" x14ac:dyDescent="0.25">
      <c r="A32" s="4" t="s">
        <v>272</v>
      </c>
      <c r="B32" s="121">
        <v>10155728</v>
      </c>
      <c r="C32" s="121"/>
      <c r="D32" s="121"/>
      <c r="E32" s="63">
        <f t="shared" si="2"/>
        <v>10155728</v>
      </c>
    </row>
    <row r="33" spans="1:5" ht="16.5" thickBot="1" x14ac:dyDescent="0.3">
      <c r="A33" s="10"/>
      <c r="B33" s="125"/>
      <c r="C33" s="125"/>
      <c r="D33" s="125"/>
      <c r="E33" s="128">
        <f t="shared" si="2"/>
        <v>0</v>
      </c>
    </row>
    <row r="34" spans="1:5" ht="16.5" thickBot="1" x14ac:dyDescent="0.3">
      <c r="A34" s="37" t="s">
        <v>430</v>
      </c>
      <c r="B34" s="115">
        <f>SUM(B27:B33)</f>
        <v>107561552</v>
      </c>
      <c r="C34" s="115">
        <f>SUM(C27:C33)</f>
        <v>0</v>
      </c>
      <c r="D34" s="131"/>
      <c r="E34" s="118">
        <f t="shared" si="2"/>
        <v>107561552</v>
      </c>
    </row>
    <row r="35" spans="1:5" ht="16.5" thickBot="1" x14ac:dyDescent="0.3"/>
    <row r="36" spans="1:5" ht="16.5" thickBot="1" x14ac:dyDescent="0.3">
      <c r="A36" s="202" t="s">
        <v>431</v>
      </c>
      <c r="B36" s="6" t="s">
        <v>560</v>
      </c>
      <c r="C36" s="6">
        <v>2026</v>
      </c>
      <c r="D36" s="6" t="s">
        <v>561</v>
      </c>
      <c r="E36" s="203" t="s">
        <v>191</v>
      </c>
    </row>
    <row r="37" spans="1:5" x14ac:dyDescent="0.25">
      <c r="A37" s="8" t="s">
        <v>432</v>
      </c>
      <c r="B37" s="63"/>
      <c r="C37" s="63"/>
      <c r="D37" s="63"/>
      <c r="E37" s="63">
        <f>SUM(B37:D37)</f>
        <v>0</v>
      </c>
    </row>
    <row r="38" spans="1:5" x14ac:dyDescent="0.25">
      <c r="A38" s="4" t="s">
        <v>433</v>
      </c>
      <c r="B38" s="210">
        <v>106921866</v>
      </c>
      <c r="C38" s="121"/>
      <c r="D38" s="121"/>
      <c r="E38" s="121">
        <f>SUM(B38:D38)</f>
        <v>106921866</v>
      </c>
    </row>
    <row r="39" spans="1:5" x14ac:dyDescent="0.25">
      <c r="A39" s="4" t="s">
        <v>434</v>
      </c>
      <c r="B39" s="146">
        <v>639685</v>
      </c>
      <c r="C39" s="121"/>
      <c r="D39" s="121"/>
      <c r="E39" s="121">
        <f>SUM(B39:D39)</f>
        <v>639685</v>
      </c>
    </row>
    <row r="40" spans="1:5" x14ac:dyDescent="0.25">
      <c r="A40" s="4" t="s">
        <v>435</v>
      </c>
      <c r="B40" s="121"/>
      <c r="C40" s="121"/>
      <c r="D40" s="121"/>
      <c r="E40" s="121">
        <f>SUM(B40:D40)</f>
        <v>0</v>
      </c>
    </row>
    <row r="41" spans="1:5" ht="16.5" thickBot="1" x14ac:dyDescent="0.3">
      <c r="A41" s="10" t="s">
        <v>249</v>
      </c>
      <c r="B41" s="125"/>
      <c r="C41" s="125"/>
      <c r="D41" s="125"/>
      <c r="E41" s="125"/>
    </row>
    <row r="42" spans="1:5" ht="16.5" thickBot="1" x14ac:dyDescent="0.3">
      <c r="A42" s="37" t="s">
        <v>436</v>
      </c>
      <c r="B42" s="115">
        <f>SUM(B37:B41)</f>
        <v>107561551</v>
      </c>
      <c r="C42" s="115">
        <f t="shared" ref="C42" si="3">SUM(C37:C41)</f>
        <v>0</v>
      </c>
      <c r="D42" s="115">
        <f>SUM(D37:D41)</f>
        <v>0</v>
      </c>
      <c r="E42" s="115">
        <f>SUM(E37:E41)</f>
        <v>107561551</v>
      </c>
    </row>
    <row r="44" spans="1:5" ht="16.5" thickBot="1" x14ac:dyDescent="0.3">
      <c r="A44" s="387" t="s">
        <v>516</v>
      </c>
      <c r="B44" s="387"/>
      <c r="C44" s="387"/>
      <c r="D44" s="387"/>
      <c r="E44" s="387"/>
    </row>
    <row r="45" spans="1:5" ht="16.5" thickBot="1" x14ac:dyDescent="0.3">
      <c r="A45" s="202" t="s">
        <v>424</v>
      </c>
      <c r="B45" s="6" t="s">
        <v>560</v>
      </c>
      <c r="C45" s="6">
        <v>2026</v>
      </c>
      <c r="D45" s="6" t="s">
        <v>561</v>
      </c>
      <c r="E45" s="203" t="s">
        <v>191</v>
      </c>
    </row>
    <row r="46" spans="1:5" x14ac:dyDescent="0.25">
      <c r="A46" s="8" t="s">
        <v>425</v>
      </c>
      <c r="B46" s="63">
        <f>6935015+1409700</f>
        <v>8344715</v>
      </c>
      <c r="C46" s="63"/>
      <c r="D46" s="63"/>
      <c r="E46" s="63">
        <f>SUM(B46:D46)</f>
        <v>8344715</v>
      </c>
    </row>
    <row r="47" spans="1:5" x14ac:dyDescent="0.25">
      <c r="A47" s="4" t="s">
        <v>426</v>
      </c>
      <c r="B47" s="121"/>
      <c r="C47" s="121"/>
      <c r="D47" s="121"/>
      <c r="E47" s="63">
        <f t="shared" ref="E47:E53" si="4">SUM(B47:D47)</f>
        <v>0</v>
      </c>
    </row>
    <row r="48" spans="1:5" x14ac:dyDescent="0.25">
      <c r="A48" s="4" t="s">
        <v>427</v>
      </c>
      <c r="B48" s="121">
        <v>134638976</v>
      </c>
      <c r="C48" s="121"/>
      <c r="D48" s="121"/>
      <c r="E48" s="63">
        <f t="shared" si="4"/>
        <v>134638976</v>
      </c>
    </row>
    <row r="49" spans="1:6" x14ac:dyDescent="0.25">
      <c r="A49" s="4" t="s">
        <v>428</v>
      </c>
      <c r="B49" s="121"/>
      <c r="C49" s="121"/>
      <c r="D49" s="121"/>
      <c r="E49" s="63">
        <f t="shared" si="4"/>
        <v>0</v>
      </c>
    </row>
    <row r="50" spans="1:6" x14ac:dyDescent="0.25">
      <c r="A50" s="4" t="s">
        <v>429</v>
      </c>
      <c r="B50" s="121"/>
      <c r="C50" s="121"/>
      <c r="D50" s="121"/>
      <c r="E50" s="63">
        <f t="shared" si="4"/>
        <v>0</v>
      </c>
    </row>
    <row r="51" spans="1:6" x14ac:dyDescent="0.25">
      <c r="A51" s="4" t="s">
        <v>272</v>
      </c>
      <c r="B51" s="121">
        <v>2070067</v>
      </c>
      <c r="C51" s="121"/>
      <c r="D51" s="121"/>
      <c r="E51" s="63">
        <f t="shared" si="4"/>
        <v>2070067</v>
      </c>
    </row>
    <row r="52" spans="1:6" ht="16.5" thickBot="1" x14ac:dyDescent="0.3">
      <c r="A52" s="10"/>
      <c r="B52" s="125"/>
      <c r="C52" s="125"/>
      <c r="D52" s="125"/>
      <c r="E52" s="128">
        <f t="shared" si="4"/>
        <v>0</v>
      </c>
    </row>
    <row r="53" spans="1:6" ht="16.5" thickBot="1" x14ac:dyDescent="0.3">
      <c r="A53" s="37" t="s">
        <v>430</v>
      </c>
      <c r="B53" s="115">
        <f>SUM(B46:B52)</f>
        <v>145053758</v>
      </c>
      <c r="C53" s="115">
        <f>SUM(C46:C52)</f>
        <v>0</v>
      </c>
      <c r="D53" s="131"/>
      <c r="E53" s="118">
        <f t="shared" si="4"/>
        <v>145053758</v>
      </c>
      <c r="F53" s="66"/>
    </row>
    <row r="54" spans="1:6" ht="16.5" thickBot="1" x14ac:dyDescent="0.3"/>
    <row r="55" spans="1:6" ht="16.5" thickBot="1" x14ac:dyDescent="0.3">
      <c r="A55" s="202" t="s">
        <v>431</v>
      </c>
      <c r="B55" s="6" t="s">
        <v>560</v>
      </c>
      <c r="C55" s="6">
        <v>2026</v>
      </c>
      <c r="D55" s="6" t="s">
        <v>561</v>
      </c>
      <c r="E55" s="203" t="s">
        <v>191</v>
      </c>
    </row>
    <row r="56" spans="1:6" x14ac:dyDescent="0.25">
      <c r="A56" s="8" t="s">
        <v>432</v>
      </c>
      <c r="B56" s="63"/>
      <c r="C56" s="63"/>
      <c r="D56" s="63"/>
      <c r="E56" s="63">
        <f>SUM(B56:D56)</f>
        <v>0</v>
      </c>
    </row>
    <row r="57" spans="1:6" x14ac:dyDescent="0.25">
      <c r="A57" s="4" t="s">
        <v>433</v>
      </c>
      <c r="B57" s="210">
        <v>139154715</v>
      </c>
      <c r="C57" s="121"/>
      <c r="D57" s="121"/>
      <c r="E57" s="121">
        <f>SUM(B57:D57)</f>
        <v>139154715</v>
      </c>
    </row>
    <row r="58" spans="1:6" x14ac:dyDescent="0.25">
      <c r="A58" s="4" t="s">
        <v>434</v>
      </c>
      <c r="B58" s="146">
        <v>5899046</v>
      </c>
      <c r="C58" s="121"/>
      <c r="D58" s="121"/>
      <c r="E58" s="121">
        <f>SUM(B58:D58)</f>
        <v>5899046</v>
      </c>
    </row>
    <row r="59" spans="1:6" x14ac:dyDescent="0.25">
      <c r="A59" s="4" t="s">
        <v>435</v>
      </c>
      <c r="B59" s="121"/>
      <c r="C59" s="121"/>
      <c r="D59" s="121"/>
      <c r="E59" s="121">
        <f>SUM(B59:D59)</f>
        <v>0</v>
      </c>
    </row>
    <row r="60" spans="1:6" ht="16.5" thickBot="1" x14ac:dyDescent="0.3">
      <c r="A60" s="10" t="s">
        <v>249</v>
      </c>
      <c r="B60" s="125"/>
      <c r="C60" s="125"/>
      <c r="D60" s="125"/>
      <c r="E60" s="125"/>
    </row>
    <row r="61" spans="1:6" ht="16.5" thickBot="1" x14ac:dyDescent="0.3">
      <c r="A61" s="37" t="s">
        <v>436</v>
      </c>
      <c r="B61" s="115">
        <f>SUM(B56:B60)</f>
        <v>145053761</v>
      </c>
      <c r="C61" s="115">
        <f t="shared" ref="C61" si="5">SUM(C56:C60)</f>
        <v>0</v>
      </c>
      <c r="D61" s="115">
        <f>SUM(D56:D60)</f>
        <v>0</v>
      </c>
      <c r="E61" s="115">
        <f>SUM(E56:E60)</f>
        <v>145053761</v>
      </c>
    </row>
    <row r="63" spans="1:6" ht="16.5" thickBot="1" x14ac:dyDescent="0.3">
      <c r="A63" s="387" t="s">
        <v>517</v>
      </c>
      <c r="B63" s="387"/>
      <c r="C63" s="387"/>
      <c r="D63" s="387"/>
      <c r="E63" s="387"/>
    </row>
    <row r="64" spans="1:6" ht="16.5" thickBot="1" x14ac:dyDescent="0.3">
      <c r="A64" s="202" t="s">
        <v>424</v>
      </c>
      <c r="B64" s="6" t="s">
        <v>560</v>
      </c>
      <c r="C64" s="6">
        <v>2026</v>
      </c>
      <c r="D64" s="6" t="s">
        <v>561</v>
      </c>
      <c r="E64" s="203" t="s">
        <v>191</v>
      </c>
    </row>
    <row r="65" spans="1:5" x14ac:dyDescent="0.25">
      <c r="A65" s="8" t="s">
        <v>425</v>
      </c>
      <c r="B65" s="63"/>
      <c r="C65" s="63"/>
      <c r="D65" s="63"/>
      <c r="E65" s="63">
        <f>SUM(B65:D65)</f>
        <v>0</v>
      </c>
    </row>
    <row r="66" spans="1:5" x14ac:dyDescent="0.25">
      <c r="A66" s="4" t="s">
        <v>426</v>
      </c>
      <c r="B66" s="121"/>
      <c r="C66" s="121"/>
      <c r="D66" s="121"/>
      <c r="E66" s="63">
        <f t="shared" ref="E66:E72" si="6">SUM(B66:D66)</f>
        <v>0</v>
      </c>
    </row>
    <row r="67" spans="1:5" x14ac:dyDescent="0.25">
      <c r="A67" s="4" t="s">
        <v>427</v>
      </c>
      <c r="B67" s="121">
        <v>48996854</v>
      </c>
      <c r="C67" s="121"/>
      <c r="D67" s="121"/>
      <c r="E67" s="63">
        <f t="shared" si="6"/>
        <v>48996854</v>
      </c>
    </row>
    <row r="68" spans="1:5" x14ac:dyDescent="0.25">
      <c r="A68" s="4" t="s">
        <v>428</v>
      </c>
      <c r="B68" s="121"/>
      <c r="C68" s="121"/>
      <c r="D68" s="121"/>
      <c r="E68" s="63">
        <f t="shared" si="6"/>
        <v>0</v>
      </c>
    </row>
    <row r="69" spans="1:5" x14ac:dyDescent="0.25">
      <c r="A69" s="4" t="s">
        <v>429</v>
      </c>
      <c r="B69" s="121"/>
      <c r="C69" s="121"/>
      <c r="D69" s="121"/>
      <c r="E69" s="63">
        <f t="shared" si="6"/>
        <v>0</v>
      </c>
    </row>
    <row r="70" spans="1:5" x14ac:dyDescent="0.25">
      <c r="A70" s="4" t="s">
        <v>272</v>
      </c>
      <c r="B70" s="121">
        <v>724228</v>
      </c>
      <c r="C70" s="121"/>
      <c r="D70" s="121"/>
      <c r="E70" s="63">
        <f t="shared" si="6"/>
        <v>724228</v>
      </c>
    </row>
    <row r="71" spans="1:5" ht="16.5" thickBot="1" x14ac:dyDescent="0.3">
      <c r="A71" s="10"/>
      <c r="B71" s="125"/>
      <c r="C71" s="125"/>
      <c r="D71" s="125"/>
      <c r="E71" s="128">
        <f t="shared" si="6"/>
        <v>0</v>
      </c>
    </row>
    <row r="72" spans="1:5" ht="16.5" thickBot="1" x14ac:dyDescent="0.3">
      <c r="A72" s="37" t="s">
        <v>430</v>
      </c>
      <c r="B72" s="115">
        <f>SUM(B65:B71)</f>
        <v>49721082</v>
      </c>
      <c r="C72" s="115">
        <f>SUM(C65:C71)</f>
        <v>0</v>
      </c>
      <c r="D72" s="131"/>
      <c r="E72" s="118">
        <f t="shared" si="6"/>
        <v>49721082</v>
      </c>
    </row>
    <row r="73" spans="1:5" ht="16.5" thickBot="1" x14ac:dyDescent="0.3"/>
    <row r="74" spans="1:5" ht="16.5" thickBot="1" x14ac:dyDescent="0.3">
      <c r="A74" s="202" t="s">
        <v>431</v>
      </c>
      <c r="B74" s="6" t="s">
        <v>560</v>
      </c>
      <c r="C74" s="6">
        <v>2026</v>
      </c>
      <c r="D74" s="6" t="s">
        <v>561</v>
      </c>
      <c r="E74" s="203" t="s">
        <v>191</v>
      </c>
    </row>
    <row r="75" spans="1:5" x14ac:dyDescent="0.25">
      <c r="A75" s="8" t="s">
        <v>432</v>
      </c>
      <c r="B75" s="63"/>
      <c r="C75" s="63"/>
      <c r="D75" s="63"/>
      <c r="E75" s="63">
        <f>SUM(B75:D75)</f>
        <v>0</v>
      </c>
    </row>
    <row r="76" spans="1:5" x14ac:dyDescent="0.25">
      <c r="A76" s="4" t="s">
        <v>433</v>
      </c>
      <c r="B76" s="210">
        <v>48996600</v>
      </c>
      <c r="C76" s="121"/>
      <c r="D76" s="121"/>
      <c r="E76" s="121">
        <f>SUM(B76:D76)</f>
        <v>48996600</v>
      </c>
    </row>
    <row r="77" spans="1:5" x14ac:dyDescent="0.25">
      <c r="A77" s="4" t="s">
        <v>434</v>
      </c>
      <c r="B77" s="146">
        <v>724482</v>
      </c>
      <c r="C77" s="121"/>
      <c r="D77" s="121"/>
      <c r="E77" s="121">
        <f>SUM(B77:D77)</f>
        <v>724482</v>
      </c>
    </row>
    <row r="78" spans="1:5" x14ac:dyDescent="0.25">
      <c r="A78" s="4" t="s">
        <v>435</v>
      </c>
      <c r="B78" s="121"/>
      <c r="C78" s="121"/>
      <c r="D78" s="121"/>
      <c r="E78" s="121">
        <f>SUM(B78:D78)</f>
        <v>0</v>
      </c>
    </row>
    <row r="79" spans="1:5" ht="16.5" thickBot="1" x14ac:dyDescent="0.3">
      <c r="A79" s="10" t="s">
        <v>249</v>
      </c>
      <c r="B79" s="125"/>
      <c r="C79" s="125"/>
      <c r="D79" s="125"/>
      <c r="E79" s="125"/>
    </row>
    <row r="80" spans="1:5" ht="16.5" thickBot="1" x14ac:dyDescent="0.3">
      <c r="A80" s="37" t="s">
        <v>436</v>
      </c>
      <c r="B80" s="115">
        <f>SUM(B75:B79)</f>
        <v>49721082</v>
      </c>
      <c r="C80" s="115">
        <f t="shared" ref="C80" si="7">SUM(C75:C79)</f>
        <v>0</v>
      </c>
      <c r="D80" s="115">
        <f>SUM(D75:D79)</f>
        <v>0</v>
      </c>
      <c r="E80" s="115">
        <f>SUM(E75:E79)</f>
        <v>49721082</v>
      </c>
    </row>
    <row r="82" spans="1:5" ht="16.5" thickBot="1" x14ac:dyDescent="0.3">
      <c r="A82" s="387" t="s">
        <v>518</v>
      </c>
      <c r="B82" s="387"/>
      <c r="C82" s="387"/>
      <c r="D82" s="387"/>
      <c r="E82" s="387"/>
    </row>
    <row r="83" spans="1:5" ht="16.5" thickBot="1" x14ac:dyDescent="0.3">
      <c r="A83" s="202" t="s">
        <v>424</v>
      </c>
      <c r="B83" s="6" t="s">
        <v>560</v>
      </c>
      <c r="C83" s="6">
        <v>2026</v>
      </c>
      <c r="D83" s="6" t="s">
        <v>561</v>
      </c>
      <c r="E83" s="203" t="s">
        <v>191</v>
      </c>
    </row>
    <row r="84" spans="1:5" x14ac:dyDescent="0.25">
      <c r="A84" s="8" t="s">
        <v>425</v>
      </c>
      <c r="B84" s="63"/>
      <c r="C84" s="63"/>
      <c r="D84" s="63"/>
      <c r="E84" s="63">
        <f>SUM(B84:D84)</f>
        <v>0</v>
      </c>
    </row>
    <row r="85" spans="1:5" x14ac:dyDescent="0.25">
      <c r="A85" s="4" t="s">
        <v>426</v>
      </c>
      <c r="B85" s="121"/>
      <c r="C85" s="121"/>
      <c r="D85" s="121"/>
      <c r="E85" s="63">
        <f t="shared" ref="E85:E91" si="8">SUM(B85:D85)</f>
        <v>0</v>
      </c>
    </row>
    <row r="86" spans="1:5" x14ac:dyDescent="0.25">
      <c r="A86" s="4" t="s">
        <v>427</v>
      </c>
      <c r="B86" s="121">
        <v>79401623</v>
      </c>
      <c r="C86" s="121"/>
      <c r="D86" s="121"/>
      <c r="E86" s="63">
        <f t="shared" si="8"/>
        <v>79401623</v>
      </c>
    </row>
    <row r="87" spans="1:5" x14ac:dyDescent="0.25">
      <c r="A87" s="4" t="s">
        <v>428</v>
      </c>
      <c r="B87" s="121"/>
      <c r="C87" s="121"/>
      <c r="D87" s="121"/>
      <c r="E87" s="63">
        <f t="shared" si="8"/>
        <v>0</v>
      </c>
    </row>
    <row r="88" spans="1:5" x14ac:dyDescent="0.25">
      <c r="A88" s="4" t="s">
        <v>429</v>
      </c>
      <c r="B88" s="121"/>
      <c r="C88" s="121"/>
      <c r="D88" s="121"/>
      <c r="E88" s="63">
        <f t="shared" si="8"/>
        <v>0</v>
      </c>
    </row>
    <row r="89" spans="1:5" x14ac:dyDescent="0.25">
      <c r="A89" s="4" t="s">
        <v>272</v>
      </c>
      <c r="B89" s="121">
        <v>1283314</v>
      </c>
      <c r="C89" s="121"/>
      <c r="D89" s="121"/>
      <c r="E89" s="63">
        <f t="shared" si="8"/>
        <v>1283314</v>
      </c>
    </row>
    <row r="90" spans="1:5" ht="16.5" thickBot="1" x14ac:dyDescent="0.3">
      <c r="A90" s="10"/>
      <c r="B90" s="125"/>
      <c r="C90" s="125"/>
      <c r="D90" s="125"/>
      <c r="E90" s="128">
        <f t="shared" si="8"/>
        <v>0</v>
      </c>
    </row>
    <row r="91" spans="1:5" ht="16.5" thickBot="1" x14ac:dyDescent="0.3">
      <c r="A91" s="37" t="s">
        <v>430</v>
      </c>
      <c r="B91" s="115">
        <f>SUM(B84:B90)</f>
        <v>80684937</v>
      </c>
      <c r="C91" s="115">
        <f>SUM(C84:C90)</f>
        <v>0</v>
      </c>
      <c r="D91" s="131"/>
      <c r="E91" s="118">
        <f t="shared" si="8"/>
        <v>80684937</v>
      </c>
    </row>
    <row r="92" spans="1:5" ht="16.5" thickBot="1" x14ac:dyDescent="0.3"/>
    <row r="93" spans="1:5" ht="16.5" thickBot="1" x14ac:dyDescent="0.3">
      <c r="A93" s="202" t="s">
        <v>431</v>
      </c>
      <c r="B93" s="6" t="s">
        <v>560</v>
      </c>
      <c r="C93" s="6">
        <v>2026</v>
      </c>
      <c r="D93" s="6" t="s">
        <v>561</v>
      </c>
      <c r="E93" s="203" t="s">
        <v>191</v>
      </c>
    </row>
    <row r="94" spans="1:5" x14ac:dyDescent="0.25">
      <c r="A94" s="8" t="s">
        <v>432</v>
      </c>
      <c r="B94" s="63"/>
      <c r="C94" s="63"/>
      <c r="D94" s="63"/>
      <c r="E94" s="63">
        <f>SUM(B94:D94)</f>
        <v>0</v>
      </c>
    </row>
    <row r="95" spans="1:5" x14ac:dyDescent="0.25">
      <c r="A95" s="4" t="s">
        <v>433</v>
      </c>
      <c r="B95" s="210">
        <f>4961007+74404149</f>
        <v>79365156</v>
      </c>
      <c r="C95" s="121"/>
      <c r="D95" s="121"/>
      <c r="E95" s="121">
        <f>SUM(B95:D95)</f>
        <v>79365156</v>
      </c>
    </row>
    <row r="96" spans="1:5" x14ac:dyDescent="0.25">
      <c r="A96" s="4" t="s">
        <v>434</v>
      </c>
      <c r="B96" s="146"/>
      <c r="C96" s="121"/>
      <c r="D96" s="121"/>
      <c r="E96" s="121">
        <f>SUM(B96:D96)</f>
        <v>0</v>
      </c>
    </row>
    <row r="97" spans="1:5" x14ac:dyDescent="0.25">
      <c r="A97" s="4" t="s">
        <v>435</v>
      </c>
      <c r="B97" s="121">
        <v>1319781</v>
      </c>
      <c r="C97" s="121"/>
      <c r="D97" s="121"/>
      <c r="E97" s="121">
        <f>SUM(B97:D97)</f>
        <v>1319781</v>
      </c>
    </row>
    <row r="98" spans="1:5" ht="16.5" thickBot="1" x14ac:dyDescent="0.3">
      <c r="A98" s="10" t="s">
        <v>249</v>
      </c>
      <c r="B98" s="125"/>
      <c r="C98" s="125"/>
      <c r="D98" s="125"/>
      <c r="E98" s="125"/>
    </row>
    <row r="99" spans="1:5" ht="16.5" thickBot="1" x14ac:dyDescent="0.3">
      <c r="A99" s="37" t="s">
        <v>436</v>
      </c>
      <c r="B99" s="115">
        <f>SUM(B94:B98)</f>
        <v>80684937</v>
      </c>
      <c r="C99" s="115">
        <f t="shared" ref="C99" si="9">SUM(C94:C98)</f>
        <v>0</v>
      </c>
      <c r="D99" s="115">
        <f>SUM(D94:D98)</f>
        <v>0</v>
      </c>
      <c r="E99" s="115">
        <f>SUM(E94:E98)</f>
        <v>80684937</v>
      </c>
    </row>
    <row r="101" spans="1:5" ht="16.5" thickBot="1" x14ac:dyDescent="0.3">
      <c r="A101" s="387" t="s">
        <v>519</v>
      </c>
      <c r="B101" s="387"/>
      <c r="C101" s="387"/>
      <c r="D101" s="387"/>
      <c r="E101" s="387"/>
    </row>
    <row r="102" spans="1:5" ht="16.5" thickBot="1" x14ac:dyDescent="0.3">
      <c r="A102" s="202" t="s">
        <v>424</v>
      </c>
      <c r="B102" s="6" t="s">
        <v>560</v>
      </c>
      <c r="C102" s="6">
        <v>2026</v>
      </c>
      <c r="D102" s="6" t="s">
        <v>561</v>
      </c>
      <c r="E102" s="203" t="s">
        <v>191</v>
      </c>
    </row>
    <row r="103" spans="1:5" x14ac:dyDescent="0.25">
      <c r="A103" s="8" t="s">
        <v>425</v>
      </c>
      <c r="B103" s="63"/>
      <c r="C103" s="63"/>
      <c r="D103" s="63"/>
      <c r="E103" s="63">
        <f>SUM(B103:D103)</f>
        <v>0</v>
      </c>
    </row>
    <row r="104" spans="1:5" x14ac:dyDescent="0.25">
      <c r="A104" s="4" t="s">
        <v>426</v>
      </c>
      <c r="B104" s="121"/>
      <c r="C104" s="121"/>
      <c r="D104" s="121"/>
      <c r="E104" s="63">
        <f t="shared" ref="E104:E110" si="10">SUM(B104:D104)</f>
        <v>0</v>
      </c>
    </row>
    <row r="105" spans="1:5" x14ac:dyDescent="0.25">
      <c r="A105" s="4" t="s">
        <v>427</v>
      </c>
      <c r="B105" s="121"/>
      <c r="C105" s="121"/>
      <c r="D105" s="121"/>
      <c r="E105" s="63">
        <f t="shared" si="10"/>
        <v>0</v>
      </c>
    </row>
    <row r="106" spans="1:5" x14ac:dyDescent="0.25">
      <c r="A106" s="4" t="s">
        <v>428</v>
      </c>
      <c r="B106" s="121"/>
      <c r="C106" s="121"/>
      <c r="D106" s="121"/>
      <c r="E106" s="63">
        <f t="shared" si="10"/>
        <v>0</v>
      </c>
    </row>
    <row r="107" spans="1:5" x14ac:dyDescent="0.25">
      <c r="A107" s="4" t="s">
        <v>429</v>
      </c>
      <c r="B107" s="121"/>
      <c r="C107" s="121"/>
      <c r="D107" s="121"/>
      <c r="E107" s="63">
        <f t="shared" si="10"/>
        <v>0</v>
      </c>
    </row>
    <row r="108" spans="1:5" x14ac:dyDescent="0.25">
      <c r="A108" s="4" t="s">
        <v>272</v>
      </c>
      <c r="B108" s="121">
        <v>208456</v>
      </c>
      <c r="C108" s="121"/>
      <c r="D108" s="121"/>
      <c r="E108" s="63">
        <f t="shared" si="10"/>
        <v>208456</v>
      </c>
    </row>
    <row r="109" spans="1:5" ht="16.5" thickBot="1" x14ac:dyDescent="0.3">
      <c r="A109" s="10"/>
      <c r="B109" s="125"/>
      <c r="C109" s="125"/>
      <c r="D109" s="125"/>
      <c r="E109" s="128">
        <f t="shared" si="10"/>
        <v>0</v>
      </c>
    </row>
    <row r="110" spans="1:5" ht="16.5" thickBot="1" x14ac:dyDescent="0.3">
      <c r="A110" s="37" t="s">
        <v>430</v>
      </c>
      <c r="B110" s="115">
        <f>SUM(B103:B109)</f>
        <v>208456</v>
      </c>
      <c r="C110" s="115">
        <f>SUM(C103:C109)</f>
        <v>0</v>
      </c>
      <c r="D110" s="131"/>
      <c r="E110" s="118">
        <f t="shared" si="10"/>
        <v>208456</v>
      </c>
    </row>
    <row r="111" spans="1:5" ht="16.5" thickBot="1" x14ac:dyDescent="0.3"/>
    <row r="112" spans="1:5" ht="16.5" thickBot="1" x14ac:dyDescent="0.3">
      <c r="A112" s="202" t="s">
        <v>431</v>
      </c>
      <c r="B112" s="6" t="s">
        <v>560</v>
      </c>
      <c r="C112" s="6">
        <v>2026</v>
      </c>
      <c r="D112" s="6" t="s">
        <v>561</v>
      </c>
      <c r="E112" s="203" t="s">
        <v>191</v>
      </c>
    </row>
    <row r="113" spans="1:5" x14ac:dyDescent="0.25">
      <c r="A113" s="8" t="s">
        <v>432</v>
      </c>
      <c r="B113" s="63"/>
      <c r="C113" s="63"/>
      <c r="D113" s="63"/>
      <c r="E113" s="63">
        <f>SUM(B113:D113)</f>
        <v>0</v>
      </c>
    </row>
    <row r="114" spans="1:5" x14ac:dyDescent="0.25">
      <c r="A114" s="4" t="s">
        <v>433</v>
      </c>
      <c r="B114" s="210"/>
      <c r="C114" s="121"/>
      <c r="D114" s="121"/>
      <c r="E114" s="121">
        <f>SUM(B114:D114)</f>
        <v>0</v>
      </c>
    </row>
    <row r="115" spans="1:5" x14ac:dyDescent="0.25">
      <c r="A115" s="4" t="s">
        <v>434</v>
      </c>
      <c r="B115" s="146"/>
      <c r="C115" s="121"/>
      <c r="D115" s="121"/>
      <c r="E115" s="121">
        <f>SUM(B115:D115)</f>
        <v>0</v>
      </c>
    </row>
    <row r="116" spans="1:5" x14ac:dyDescent="0.25">
      <c r="A116" s="4" t="s">
        <v>435</v>
      </c>
      <c r="B116" s="121">
        <v>1626435</v>
      </c>
      <c r="C116" s="121"/>
      <c r="D116" s="121"/>
      <c r="E116" s="121">
        <f>SUM(B116:D116)</f>
        <v>1626435</v>
      </c>
    </row>
    <row r="117" spans="1:5" ht="16.5" thickBot="1" x14ac:dyDescent="0.3">
      <c r="A117" s="10" t="s">
        <v>249</v>
      </c>
      <c r="B117" s="125"/>
      <c r="C117" s="125"/>
      <c r="D117" s="125"/>
      <c r="E117" s="125"/>
    </row>
    <row r="118" spans="1:5" ht="16.5" thickBot="1" x14ac:dyDescent="0.3">
      <c r="A118" s="37" t="s">
        <v>436</v>
      </c>
      <c r="B118" s="115">
        <f>SUM(B113:B117)</f>
        <v>1626435</v>
      </c>
      <c r="C118" s="115">
        <f t="shared" ref="C118" si="11">SUM(C113:C117)</f>
        <v>0</v>
      </c>
      <c r="D118" s="115">
        <f>SUM(D113:D117)</f>
        <v>0</v>
      </c>
      <c r="E118" s="115">
        <f>SUM(E113:E117)</f>
        <v>1626435</v>
      </c>
    </row>
  </sheetData>
  <mergeCells count="8">
    <mergeCell ref="A82:E82"/>
    <mergeCell ref="A101:E101"/>
    <mergeCell ref="A25:E25"/>
    <mergeCell ref="A5:E5"/>
    <mergeCell ref="A1:E1"/>
    <mergeCell ref="A3:E3"/>
    <mergeCell ref="A44:E44"/>
    <mergeCell ref="A63:E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6</vt:i4>
      </vt:variant>
    </vt:vector>
  </HeadingPairs>
  <TitlesOfParts>
    <vt:vector size="28" baseType="lpstr">
      <vt:lpstr>1.összevont</vt:lpstr>
      <vt:lpstr>2.kötelező</vt:lpstr>
      <vt:lpstr>3.önként</vt:lpstr>
      <vt:lpstr>4.államigazg</vt:lpstr>
      <vt:lpstr>5.műkmérleg</vt:lpstr>
      <vt:lpstr>6.felhmérleg</vt:lpstr>
      <vt:lpstr>7.Önk bev.</vt:lpstr>
      <vt:lpstr>8. PMH bev.</vt:lpstr>
      <vt:lpstr>9. GKP bev</vt:lpstr>
      <vt:lpstr>10. VE bev</vt:lpstr>
      <vt:lpstr>11. MH bev.</vt:lpstr>
      <vt:lpstr>12.Önk kiad</vt:lpstr>
      <vt:lpstr>13.PMH kiad</vt:lpstr>
      <vt:lpstr>14. GKP kiad</vt:lpstr>
      <vt:lpstr>15. VE kiad</vt:lpstr>
      <vt:lpstr>16. MH kiad</vt:lpstr>
      <vt:lpstr>17.Beruh</vt:lpstr>
      <vt:lpstr>18.Felújít</vt:lpstr>
      <vt:lpstr>19. adósságot keltk köt</vt:lpstr>
      <vt:lpstr>20. Önkormányzat saját bev</vt:lpstr>
      <vt:lpstr>21. adóss. fejl</vt:lpstr>
      <vt:lpstr>22. EU-s</vt:lpstr>
      <vt:lpstr>'12.Önk kiad'!Nyomtatási_terület</vt:lpstr>
      <vt:lpstr>'13.PMH kiad'!Nyomtatási_terület</vt:lpstr>
      <vt:lpstr>'14. GKP kiad'!Nyomtatási_terület</vt:lpstr>
      <vt:lpstr>'15. VE kiad'!Nyomtatási_terület</vt:lpstr>
      <vt:lpstr>'16. MH kiad'!Nyomtatási_terület</vt:lpstr>
      <vt:lpstr>'7.Önk bev.'!Nyomtatási_terület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2026-03-03T12:54:13Z</dcterms:modified>
</cp:coreProperties>
</file>